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threadedComments/threadedComment3.xml" ContentType="application/vnd.ms-excel.threadedcomment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threadedComments/threadedComment4.xml" ContentType="application/vnd.ms-excel.threadedcomments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6.xml" ContentType="application/vnd.openxmlformats-officedocument.drawing+xml"/>
  <Override PartName="/xl/comments5.xml" ContentType="application/vnd.openxmlformats-officedocument.spreadsheetml.comments+xml"/>
  <Override PartName="/xl/threadedComments/threadedComment5.xml" ContentType="application/vnd.ms-excel.threadedcomments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7.xml" ContentType="application/vnd.openxmlformats-officedocument.drawing+xml"/>
  <Override PartName="/xl/comments6.xml" ContentType="application/vnd.openxmlformats-officedocument.spreadsheetml.comments+xml"/>
  <Override PartName="/xl/threadedComments/threadedComment6.xml" ContentType="application/vnd.ms-excel.threadedcomment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10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1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2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3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4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5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6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7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8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9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showInkAnnotation="0" defaultThemeVersion="166925"/>
  <mc:AlternateContent xmlns:mc="http://schemas.openxmlformats.org/markup-compatibility/2006">
    <mc:Choice Requires="x15">
      <x15ac:absPath xmlns:x15ac="http://schemas.microsoft.com/office/spreadsheetml/2010/11/ac" url="C:\Users\dziedina2\Downloads\"/>
    </mc:Choice>
  </mc:AlternateContent>
  <xr:revisionPtr revIDLastSave="0" documentId="8_{ABBD6B41-BBEC-47B3-87DC-C8FB1C0BB104}" xr6:coauthVersionLast="47" xr6:coauthVersionMax="47" xr10:uidLastSave="{00000000-0000-0000-0000-000000000000}"/>
  <workbookProtection workbookAlgorithmName="SHA-512" workbookHashValue="JM11X0tC3YZVO694SY2FZKla8STkQogcjkw6aXqcbRv+qBK0kMQe8BoAdTfZbMNQrJE0Q0GGg8Ad2gW3+isfAQ==" workbookSaltValue="+IgGGCg75tuZNynS/95UNA==" workbookSpinCount="100000" lockStructure="1"/>
  <bookViews>
    <workbookView xWindow="-110" yWindow="-110" windowWidth="38620" windowHeight="21220" xr2:uid="{93E7EF1F-77DE-4426-9C83-F639F21662E1}"/>
  </bookViews>
  <sheets>
    <sheet name="Pamatdati" sheetId="1" r:id="rId1"/>
    <sheet name="Ekon.apr.dati" sheetId="2" r:id="rId2"/>
    <sheet name="rezultāts" sheetId="6" r:id="rId3"/>
    <sheet name="Kurināmā_cenas" sheetId="5" state="hidden" r:id="rId4"/>
    <sheet name="Gaiss-ūdens" sheetId="7" state="hidden" r:id="rId5"/>
    <sheet name="Granulas" sheetId="10" state="hidden" r:id="rId6"/>
    <sheet name="dabasgāze" sheetId="11" state="hidden" r:id="rId7"/>
    <sheet name="Zeme-ūdens" sheetId="9" state="hidden" r:id="rId8"/>
    <sheet name="Malkas_katli" sheetId="8" state="hidden" r:id="rId9"/>
    <sheet name="Izejas datu lapa" sheetId="3" state="hidden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7" i="11" l="1"/>
  <c r="J16" i="11"/>
  <c r="J15" i="11"/>
  <c r="J14" i="11"/>
  <c r="J13" i="11"/>
  <c r="J12" i="11"/>
  <c r="J11" i="11"/>
  <c r="J10" i="11"/>
  <c r="J3" i="10"/>
  <c r="B22" i="1"/>
  <c r="C7" i="2"/>
  <c r="C11" i="2" s="1"/>
  <c r="D7" i="2"/>
  <c r="E14" i="10"/>
  <c r="E13" i="10"/>
  <c r="E12" i="10"/>
  <c r="E11" i="10"/>
  <c r="E10" i="10"/>
  <c r="J9" i="11"/>
  <c r="J8" i="11"/>
  <c r="J7" i="11"/>
  <c r="J6" i="11"/>
  <c r="J5" i="11"/>
  <c r="J4" i="11"/>
  <c r="J3" i="11"/>
  <c r="D11" i="2" l="1"/>
  <c r="D17" i="2" s="1"/>
  <c r="D18" i="2"/>
  <c r="J18" i="10"/>
  <c r="J17" i="10"/>
  <c r="J16" i="10"/>
  <c r="J15" i="10"/>
  <c r="J14" i="10"/>
  <c r="J13" i="10"/>
  <c r="J12" i="10"/>
  <c r="J11" i="10"/>
  <c r="J10" i="10"/>
  <c r="J9" i="10"/>
  <c r="J8" i="10"/>
  <c r="J7" i="10"/>
  <c r="J6" i="10"/>
  <c r="J5" i="10"/>
  <c r="J4" i="10"/>
  <c r="J39" i="8"/>
  <c r="J42" i="8"/>
  <c r="J41" i="8"/>
  <c r="J40" i="8"/>
  <c r="J37" i="8"/>
  <c r="J38" i="8"/>
  <c r="J32" i="8"/>
  <c r="J33" i="8"/>
  <c r="J34" i="8"/>
  <c r="J35" i="8"/>
  <c r="J36" i="8"/>
  <c r="J31" i="9"/>
  <c r="J30" i="9"/>
  <c r="J29" i="9"/>
  <c r="J28" i="9"/>
  <c r="J27" i="9"/>
  <c r="J26" i="9"/>
  <c r="J25" i="9"/>
  <c r="J24" i="9"/>
  <c r="J23" i="9"/>
  <c r="J22" i="9"/>
  <c r="J21" i="9"/>
  <c r="J20" i="9"/>
  <c r="J19" i="9"/>
  <c r="J18" i="9"/>
  <c r="J17" i="9"/>
  <c r="J16" i="9"/>
  <c r="J15" i="9"/>
  <c r="J14" i="9"/>
  <c r="J13" i="9"/>
  <c r="J12" i="9"/>
  <c r="J11" i="9"/>
  <c r="J10" i="9"/>
  <c r="J9" i="9"/>
  <c r="J8" i="9"/>
  <c r="J7" i="9"/>
  <c r="J6" i="9"/>
  <c r="J5" i="9"/>
  <c r="J4" i="9"/>
  <c r="J3" i="9"/>
  <c r="J31" i="8"/>
  <c r="J30" i="8"/>
  <c r="J24" i="8"/>
  <c r="J4" i="8"/>
  <c r="J5" i="8"/>
  <c r="J6" i="8"/>
  <c r="J7" i="8"/>
  <c r="J8" i="8"/>
  <c r="J9" i="8"/>
  <c r="J10" i="8"/>
  <c r="J11" i="8"/>
  <c r="J12" i="8"/>
  <c r="J13" i="8"/>
  <c r="J14" i="8"/>
  <c r="J15" i="8"/>
  <c r="J16" i="8"/>
  <c r="J17" i="8"/>
  <c r="J18" i="8"/>
  <c r="J19" i="8"/>
  <c r="J20" i="8"/>
  <c r="J21" i="8"/>
  <c r="J22" i="8"/>
  <c r="J23" i="8"/>
  <c r="J25" i="8"/>
  <c r="J26" i="8"/>
  <c r="J27" i="8"/>
  <c r="J28" i="8"/>
  <c r="J29" i="8"/>
  <c r="J3" i="8"/>
  <c r="H22" i="5"/>
  <c r="B23" i="5"/>
  <c r="I27" i="7"/>
  <c r="I25" i="7"/>
  <c r="I24" i="7"/>
  <c r="I23" i="7"/>
  <c r="I22" i="7"/>
  <c r="I21" i="7"/>
  <c r="I20" i="7"/>
  <c r="I19" i="7"/>
  <c r="I18" i="7"/>
  <c r="I17" i="7"/>
  <c r="I16" i="7"/>
  <c r="I15" i="7"/>
  <c r="I14" i="7"/>
  <c r="I13" i="7"/>
  <c r="I12" i="7"/>
  <c r="I11" i="7"/>
  <c r="I10" i="7"/>
  <c r="I9" i="7"/>
  <c r="I8" i="7"/>
  <c r="I7" i="7"/>
  <c r="I6" i="7"/>
  <c r="I5" i="7"/>
  <c r="H10" i="5"/>
  <c r="C10" i="2" s="1"/>
  <c r="B9" i="2"/>
  <c r="C9" i="2" s="1"/>
  <c r="C27" i="1"/>
  <c r="C26" i="1"/>
  <c r="C25" i="1"/>
  <c r="B25" i="1"/>
  <c r="B27" i="1"/>
  <c r="B26" i="1"/>
  <c r="I28" i="7"/>
  <c r="I29" i="7"/>
  <c r="I30" i="7"/>
  <c r="K89" i="3"/>
  <c r="K90" i="3"/>
  <c r="K91" i="3"/>
  <c r="K88" i="3"/>
  <c r="P78" i="3"/>
  <c r="O78" i="3"/>
  <c r="N78" i="3"/>
  <c r="M78" i="3"/>
  <c r="L78" i="3"/>
  <c r="O79" i="3"/>
  <c r="O80" i="3"/>
  <c r="O81" i="3"/>
  <c r="N79" i="3"/>
  <c r="N80" i="3"/>
  <c r="N81" i="3"/>
  <c r="M79" i="3"/>
  <c r="M80" i="3"/>
  <c r="M81" i="3"/>
  <c r="L79" i="3"/>
  <c r="L80" i="3"/>
  <c r="L81" i="3"/>
  <c r="K85" i="3"/>
  <c r="K84" i="3"/>
  <c r="K83" i="3"/>
  <c r="K82" i="3"/>
  <c r="P81" i="3"/>
  <c r="K81" i="3"/>
  <c r="P80" i="3"/>
  <c r="K80" i="3"/>
  <c r="P79" i="3"/>
  <c r="K79" i="3"/>
  <c r="K78" i="3"/>
  <c r="I89" i="3"/>
  <c r="I90" i="3"/>
  <c r="I91" i="3"/>
  <c r="I88" i="3"/>
  <c r="G26" i="7"/>
  <c r="I26" i="7" s="1"/>
  <c r="I4" i="7"/>
  <c r="I3" i="7"/>
  <c r="P66" i="3"/>
  <c r="P67" i="3"/>
  <c r="P68" i="3"/>
  <c r="P65" i="3"/>
  <c r="O66" i="3"/>
  <c r="O67" i="3"/>
  <c r="O68" i="3"/>
  <c r="O65" i="3"/>
  <c r="N66" i="3"/>
  <c r="N67" i="3"/>
  <c r="N68" i="3"/>
  <c r="N65" i="3"/>
  <c r="M66" i="3"/>
  <c r="M67" i="3"/>
  <c r="M68" i="3"/>
  <c r="M65" i="3"/>
  <c r="L66" i="3"/>
  <c r="L67" i="3"/>
  <c r="L68" i="3"/>
  <c r="L65" i="3"/>
  <c r="K66" i="3"/>
  <c r="K67" i="3"/>
  <c r="K68" i="3"/>
  <c r="K69" i="3"/>
  <c r="K70" i="3"/>
  <c r="K71" i="3"/>
  <c r="K72" i="3"/>
  <c r="K65" i="3"/>
  <c r="D9" i="2" l="1"/>
  <c r="C22" i="2"/>
  <c r="D10" i="2"/>
  <c r="E9" i="2" l="1"/>
  <c r="D22" i="2"/>
  <c r="I7" i="2"/>
  <c r="I11" i="2" s="1"/>
  <c r="H7" i="2"/>
  <c r="H11" i="2" s="1"/>
  <c r="G7" i="2"/>
  <c r="F7" i="2"/>
  <c r="E7" i="2"/>
  <c r="D14" i="2"/>
  <c r="D27" i="2" s="1"/>
  <c r="C14" i="2"/>
  <c r="C27" i="2" s="1"/>
  <c r="B7" i="2"/>
  <c r="I8" i="2"/>
  <c r="G8" i="2"/>
  <c r="E8" i="2"/>
  <c r="D77" i="3"/>
  <c r="D68" i="3"/>
  <c r="D67" i="3"/>
  <c r="D66" i="3"/>
  <c r="D65" i="3"/>
  <c r="F18" i="2" l="1"/>
  <c r="F11" i="2"/>
  <c r="H18" i="2"/>
  <c r="F9" i="2"/>
  <c r="E18" i="2"/>
  <c r="E11" i="2"/>
  <c r="B11" i="2"/>
  <c r="C18" i="2"/>
  <c r="C17" i="2"/>
  <c r="G18" i="2"/>
  <c r="G11" i="2"/>
  <c r="D23" i="2"/>
  <c r="D28" i="2" s="1"/>
  <c r="I18" i="2"/>
  <c r="F21" i="3"/>
  <c r="F20" i="3"/>
  <c r="C21" i="5"/>
  <c r="B21" i="5"/>
  <c r="B53" i="3"/>
  <c r="H44" i="3"/>
  <c r="E4" i="5" s="1"/>
  <c r="F44" i="3"/>
  <c r="E44" i="3"/>
  <c r="C44" i="3"/>
  <c r="D43" i="3"/>
  <c r="B43" i="3"/>
  <c r="D42" i="3"/>
  <c r="B42" i="3"/>
  <c r="D41" i="3"/>
  <c r="B41" i="3"/>
  <c r="D39" i="3"/>
  <c r="B39" i="3"/>
  <c r="D38" i="3"/>
  <c r="B38" i="3"/>
  <c r="B34" i="3"/>
  <c r="F33" i="3"/>
  <c r="E33" i="3"/>
  <c r="D33" i="3"/>
  <c r="C33" i="3"/>
  <c r="I33" i="3" s="1"/>
  <c r="G29" i="3"/>
  <c r="B16" i="3"/>
  <c r="C14" i="3"/>
  <c r="C16" i="3" s="1"/>
  <c r="B10" i="2"/>
  <c r="H15" i="5"/>
  <c r="H10" i="2" s="1"/>
  <c r="H19" i="5"/>
  <c r="H13" i="5"/>
  <c r="C7" i="5"/>
  <c r="B7" i="5"/>
  <c r="F9" i="5"/>
  <c r="C9" i="5"/>
  <c r="B17" i="2" l="1"/>
  <c r="B15" i="2" s="1"/>
  <c r="C15" i="2"/>
  <c r="G9" i="2"/>
  <c r="H6" i="5"/>
  <c r="F10" i="2" s="1"/>
  <c r="F22" i="2" s="1"/>
  <c r="H8" i="5"/>
  <c r="G10" i="2" s="1"/>
  <c r="B23" i="2"/>
  <c r="B28" i="2" s="1"/>
  <c r="B22" i="2"/>
  <c r="D15" i="2"/>
  <c r="F17" i="2"/>
  <c r="F15" i="2" s="1"/>
  <c r="G17" i="2"/>
  <c r="G15" i="2" s="1"/>
  <c r="I17" i="2"/>
  <c r="I15" i="2" s="1"/>
  <c r="I14" i="2"/>
  <c r="E17" i="2"/>
  <c r="E15" i="2" s="1"/>
  <c r="E14" i="2"/>
  <c r="E27" i="2" s="1"/>
  <c r="H17" i="2"/>
  <c r="H15" i="2" s="1"/>
  <c r="H14" i="2"/>
  <c r="C23" i="2"/>
  <c r="C28" i="2" s="1"/>
  <c r="D44" i="3"/>
  <c r="D4" i="5"/>
  <c r="F4" i="5"/>
  <c r="B4" i="5"/>
  <c r="C4" i="5"/>
  <c r="B44" i="3"/>
  <c r="H20" i="5"/>
  <c r="I10" i="2" s="1"/>
  <c r="H33" i="3"/>
  <c r="F7" i="5"/>
  <c r="H5" i="5"/>
  <c r="E7" i="5"/>
  <c r="D7" i="5"/>
  <c r="H9" i="2" l="1"/>
  <c r="G22" i="2"/>
  <c r="F23" i="2"/>
  <c r="F28" i="2" s="1"/>
  <c r="G23" i="2"/>
  <c r="G28" i="2" s="1"/>
  <c r="C26" i="2"/>
  <c r="C29" i="2" s="1"/>
  <c r="H3" i="5"/>
  <c r="E10" i="2" s="1"/>
  <c r="E22" i="2" s="1"/>
  <c r="F13" i="2"/>
  <c r="F14" i="2" s="1"/>
  <c r="F27" i="2" s="1"/>
  <c r="I9" i="2" l="1"/>
  <c r="H22" i="2"/>
  <c r="H26" i="2" s="1"/>
  <c r="H29" i="2" s="1"/>
  <c r="H23" i="2"/>
  <c r="H28" i="2" s="1"/>
  <c r="H27" i="2"/>
  <c r="E23" i="2"/>
  <c r="E28" i="2" s="1"/>
  <c r="G13" i="2"/>
  <c r="B14" i="2"/>
  <c r="I22" i="2" l="1"/>
  <c r="I26" i="2" s="1"/>
  <c r="I29" i="2" s="1"/>
  <c r="I27" i="2"/>
  <c r="I23" i="2"/>
  <c r="I28" i="2" s="1"/>
  <c r="B26" i="2"/>
  <c r="B29" i="2" s="1"/>
  <c r="B27" i="2"/>
  <c r="G14" i="2"/>
  <c r="G27" i="2" s="1"/>
  <c r="D26" i="2"/>
  <c r="D29" i="2" s="1"/>
  <c r="G26" i="2" l="1"/>
  <c r="G29" i="2" s="1"/>
  <c r="E26" i="2" l="1"/>
  <c r="E29" i="2" s="1"/>
  <c r="F26" i="2" l="1"/>
  <c r="F29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tc={95B86325-AEAA-44A5-9422-408F1826CBD8}</author>
    <author>tc={4CFA1D11-8F0F-4D6D-93E4-8CDA20C9B394}</author>
    <author>tc={8921C272-151F-422A-A222-F655C0B347B8}</author>
    <author>tc={078C27E8-1E75-4E6B-A501-DEC10BE8B52C}</author>
    <author>tc={26A20E75-447F-47DB-9FF9-983EA825F528}</author>
    <author>tc={7AE05765-0912-4345-AD80-A70F2EA7A9CA}</author>
    <author>Jānis Ikaunieks</author>
    <author>tc={1D12E069-13D2-4EAE-8F29-EB38EBFCA4B1}</author>
    <author>tc={6060882E-3374-467A-A466-A27099E9ED0E}</author>
    <author>tc={CA6CEC85-6FFC-4CBF-A3AA-8926A18D4379}</author>
    <author>tc={2A033EEA-05AD-49FE-8524-48E532AA0313}</author>
    <author>tc={0A5D0CC9-7BB7-46B8-A615-E53595543457}</author>
    <author>tc={F3FC18AB-1E6D-4103-8C8F-B003E6606CBA}</author>
    <author>tc={13BCE93A-280B-44D7-963E-916317F15970}</author>
    <author>tc={B26E828F-6A55-4493-94FA-21427EA8BFCA}</author>
    <author>tc={01CB035A-7D07-42A1-B72D-9A386D705B96}</author>
    <author>tc={BBE93236-C12B-45E9-83BE-042AC9C61780}</author>
    <author>tc={3E550A85-77C2-405E-8447-F5B47DCE3141}</author>
    <author>tc={2C19F6B8-343A-44E6-B853-312A8921CC2D}</author>
    <author>tc={A4C7C9E1-59D7-45F4-A7D0-80611FEDCFC1}</author>
    <author>tc={1D2DC1AE-D9B1-4D8B-BD4F-BCDF20288CAD}</author>
    <author>tc={830D26F1-492B-465C-8925-2924B9EB4D9C}</author>
    <author>tc={D01FD51F-BC27-4C16-8E84-4B174E0CAC6E}</author>
  </authors>
  <commentList>
    <comment ref="B3" authorId="0" shapeId="0" xr:uid="{95B86325-AEAA-44A5-9422-408F1826CBD8}">
      <text>
        <t>[Komentārs ar pavedienu]
Jūsu Excel versija ļauj lasīt šo komentāru ar pavedienu, tomēr visi tā labojumi tiks noņemti, ja fails tiks atvērts jaunākā Excel versijā. Papildinformācija: https://go.microsoft.com/fwlink/?linkid=870924
Komentārs:
    http://www.malkastirgus.lv/veikals/params/category/81173/</t>
      </text>
    </comment>
    <comment ref="D3" authorId="1" shapeId="0" xr:uid="{4CFA1D11-8F0F-4D6D-93E4-8CDA20C9B394}">
      <text>
        <t>[Komentārs ar pavedienu]
Jūsu Excel versija ļauj lasīt šo komentāru ar pavedienu, tomēr visi tā labojumi tiks noņemti, ja fails tiks atvērts jaunākā Excel versijā. Papildinformācija: https://go.microsoft.com/fwlink/?linkid=870924
Komentārs:
    http://www.drova.lv/lv/malka/
cenas - par ber.m3 -&gt; aprēķinos konvertācija</t>
      </text>
    </comment>
    <comment ref="E3" authorId="2" shapeId="0" xr:uid="{8921C272-151F-422A-A222-F655C0B347B8}">
      <text>
        <t xml:space="preserve">[Komentārs ar pavedienu]
Jūsu Excel versija ļauj lasīt šo komentāru ar pavedienu, tomēr visi tā labojumi tiks noņemti, ja fails tiks atvērts jaunākā Excel versijā. Papildinformācija: https://go.microsoft.com/fwlink/?linkid=870924
Komentārs:
    https://hb-koks.lv/produkta-kategorija/jaukta-lapu-koku-malka/
ar piegādi Rīgā.
44,5 EUR/ber.m3 bez PVN
</t>
      </text>
    </comment>
    <comment ref="F3" authorId="3" shapeId="0" xr:uid="{078C27E8-1E75-4E6B-A501-DEC10BE8B52C}">
      <text>
        <t>[Komentārs ar pavedienu]
Jūsu Excel versija ļauj lasīt šo komentāru ar pavedienu, tomēr visi tā labojumi tiks noņemti, ja fails tiks atvērts jaunākā Excel versijā. Papildinformācija: https://go.microsoft.com/fwlink/?linkid=870924
Komentārs:
    https://e-malka.lv/produkta-kategorija/alksna-malka/</t>
      </text>
    </comment>
    <comment ref="C6" authorId="4" shapeId="0" xr:uid="{26A20E75-447F-47DB-9FF9-983EA825F528}">
      <text>
        <t>[Komentārs ar pavedienu]
Jūsu Excel versija ļauj lasīt šo komentāru ar pavedienu, tomēr visi tā labojumi tiks noņemti, ja fails tiks atvērts jaunākā Excel versijā. Papildinformācija: https://go.microsoft.com/fwlink/?linkid=870924
Komentārs:
    Paletē: 65 x 15 kg = 975 kg, pārrēķināts uz tonnu.
https://www.enefit.lv/majai/granulas</t>
      </text>
    </comment>
    <comment ref="D6" authorId="5" shapeId="0" xr:uid="{7AE05765-0912-4345-AD80-A70F2EA7A9CA}">
      <text>
        <t>[Komentārs ar pavedienu]
Jūsu Excel versija ļauj lasīt šo komentāru ar pavedienu, tomēr visi tā labojumi tiks noņemti, ja fails tiks atvērts jaunākā Excel versijā. Papildinformācija: https://go.microsoft.com/fwlink/?linkid=870924
Komentārs:
    https://www.granulas.lv/cenas</t>
      </text>
    </comment>
    <comment ref="B8" authorId="6" shapeId="0" xr:uid="{2E90B2DB-037A-4BB7-8817-BEA449AA8B0E}">
      <text>
        <r>
          <rPr>
            <b/>
            <sz val="9"/>
            <color indexed="81"/>
            <rFont val="Tahoma"/>
            <family val="2"/>
            <charset val="186"/>
          </rPr>
          <t>Jānis Ikaunieks:</t>
        </r>
        <r>
          <rPr>
            <sz val="9"/>
            <color indexed="81"/>
            <rFont val="Tahoma"/>
            <family val="2"/>
            <charset val="186"/>
          </rPr>
          <t xml:space="preserve">
https://online.depo.lv/products/32593</t>
        </r>
      </text>
    </comment>
    <comment ref="C8" authorId="7" shapeId="0" xr:uid="{1D12E069-13D2-4EAE-8F29-EB38EBFCA4B1}">
      <text>
        <t>[Komentārs ar pavedienu]
Jūsu Excel versija ļauj lasīt šo komentāru ar pavedienu, tomēr visi tā labojumi tiks noņemti, ja fails tiks atvērts jaunākā Excel versijā. Papildinformācija: https://go.microsoft.com/fwlink/?linkid=870924
Komentārs:
    Grupas uzņēmumu ražotas
https://www.finieris.lv/lv/e-veikals/produktu-atlase?wh=mt&amp;pr=c3&amp;pg=1</t>
      </text>
    </comment>
    <comment ref="D8" authorId="8" shapeId="0" xr:uid="{6060882E-3374-467A-A466-A27099E9ED0E}">
      <text>
        <t>[Komentārs ar pavedienu]
Jūsu Excel versija ļauj lasīt šo komentāru ar pavedienu, tomēr visi tā labojumi tiks noņemti, ja fails tiks atvērts jaunākā Excel versijā. Papildinformācija: https://go.microsoft.com/fwlink/?linkid=870924
Komentārs:
    https://skaidubriketes.lv/</t>
      </text>
    </comment>
    <comment ref="E8" authorId="9" shapeId="0" xr:uid="{CA6CEC85-6FFC-4CBF-A3AA-8926A18D4379}">
      <text>
        <t>[Komentārs ar pavedienu]
Jūsu Excel versija ļauj lasīt šo komentāru ar pavedienu, tomēr visi tā labojumi tiks noņemti, ja fails tiks atvērts jaunākā Excel versijā. Papildinformācija: https://go.microsoft.com/fwlink/?linkid=870924
Komentārs:
    https://prowood.lv/lv/apkure</t>
      </text>
    </comment>
    <comment ref="F8" authorId="10" shapeId="0" xr:uid="{2A033EEA-05AD-49FE-8524-48E532AA0313}">
      <text>
        <t>[Komentārs ar pavedienu]
Jūsu Excel versija ļauj lasīt šo komentāru ar pavedienu, tomēr visi tā labojumi tiks noņemti, ja fails tiks atvērts jaunākā Excel versijā. Papildinformācija: https://go.microsoft.com/fwlink/?linkid=870924
Komentārs:
    http://www.latgranula.lv/lat/</t>
      </text>
    </comment>
    <comment ref="B15" authorId="11" shapeId="0" xr:uid="{0A5D0CC9-7BB7-46B8-A615-E53595543457}">
      <text>
        <t>[Komentārs ar pavedienu]
Jūsu Excel versija ļauj lasīt šo komentāru ar pavedienu, tomēr visi tā labojumi tiks noņemti, ja fails tiks atvērts jaunākā Excel versijā. Papildinformācija: https://go.microsoft.com/fwlink/?linkid=870924
Komentārs:
    https://www.elektrum.lv/lv/majai/elektrum-dabasgaze/dabasgazes-produkti/piemerotaka-produkta-kalkulators/33/4350489283?contract_start_date=2023-06-01&amp;gas%5Bvoucher%5D=&amp;gas%5BmaxLoad%5D=06&amp;gas%5Bconsumption%5D%5Bcubic%5D=1651.17&amp;gas%5Bconsumption%5D%5Bwatts%5D=17400</t>
      </text>
    </comment>
    <comment ref="C15" authorId="12" shapeId="0" xr:uid="{F3FC18AB-1E6D-4103-8C8F-B003E6606CBA}">
      <text>
        <t>[Komentārs ar pavedienu]
Jūsu Excel versija ļauj lasīt šo komentāru ar pavedienu, tomēr visi tā labojumi tiks noņemti, ja fails tiks atvērts jaunākā Excel versijā. Papildinformācija: https://go.microsoft.com/fwlink/?linkid=870924
Komentārs:
    https://lg.lv/jaunumi/dabasgazes-tirgus-atversana-zemaka-dabasgazes-cena-draudzigi-nosacijumi</t>
      </text>
    </comment>
    <comment ref="D15" authorId="13" shapeId="0" xr:uid="{13BCE93A-280B-44D7-963E-916317F15970}">
      <text>
        <t>[Komentārs ar pavedienu]
Jūsu Excel versija ļauj lasīt šo komentāru ar pavedienu, tomēr visi tā labojumi tiks noņemti, ja fails tiks atvērts jaunākā Excel versijā. Papildinformācija: https://go.microsoft.com/fwlink/?linkid=870924
Komentārs:
    https://elenger.lv/majai/dabasgaze/?gclid=EAIaIQobChMIoLDogZ33_gIVitxRCh0ZJg67EAAYASAAEgIQCvD_BwE</t>
      </text>
    </comment>
    <comment ref="B18" authorId="14" shapeId="0" xr:uid="{B26E828F-6A55-4493-94FA-21427EA8BFCA}">
      <text>
        <t xml:space="preserve">[Komentārs ar pavedienu]
Jūsu Excel versija ļauj lasīt šo komentāru ar pavedienu, tomēr visi tā labojumi tiks noņemti, ja fails tiks atvērts jaunākā Excel versijā. Papildinformācija: https://go.microsoft.com/fwlink/?linkid=870924
Komentārs:
    gada patēriņš 2635-263450 kWh), </t>
      </text>
    </comment>
    <comment ref="C18" authorId="15" shapeId="0" xr:uid="{01CB035A-7D07-42A1-B72D-9A386D705B96}">
      <text>
        <t xml:space="preserve">[Komentārs ar pavedienu]
Jūsu Excel versija ļauj lasīt šo komentāru ar pavedienu, tomēr visi tā labojumi tiks noņemti, ja fails tiks atvērts jaunākā Excel versijā. Papildinformācija: https://go.microsoft.com/fwlink/?linkid=870924
Komentārs:
    gada patēriņš 2635-263450 kWh), </t>
      </text>
    </comment>
    <comment ref="D18" authorId="16" shapeId="0" xr:uid="{BBE93236-C12B-45E9-83BE-042AC9C61780}">
      <text>
        <t xml:space="preserve">[Komentārs ar pavedienu]
Jūsu Excel versija ļauj lasīt šo komentāru ar pavedienu, tomēr visi tā labojumi tiks noņemti, ja fails tiks atvērts jaunākā Excel versijā. Papildinformācija: https://go.microsoft.com/fwlink/?linkid=870924
Komentārs:
    gada patēriņš 2635-263450 kWh), </t>
      </text>
    </comment>
    <comment ref="B19" authorId="17" shapeId="0" xr:uid="{3E550A85-77C2-405E-8447-F5B47DCE3141}">
      <text>
        <t>[Komentārs ar pavedienu]
Jūsu Excel versija ļauj lasīt šo komentāru ar pavedienu, tomēr visi tā labojumi tiks noņemti, ja fails tiks atvērts jaunākā Excel versijā. Papildinformācija: https://go.microsoft.com/fwlink/?linkid=870924
Komentārs:
     līdz 6 m3/h</t>
      </text>
    </comment>
    <comment ref="C19" authorId="18" shapeId="0" xr:uid="{2C19F6B8-343A-44E6-B853-312A8921CC2D}">
      <text>
        <t>[Komentārs ar pavedienu]
Jūsu Excel versija ļauj lasīt šo komentāru ar pavedienu, tomēr visi tā labojumi tiks noņemti, ja fails tiks atvērts jaunākā Excel versijā. Papildinformācija: https://go.microsoft.com/fwlink/?linkid=870924
Komentārs:
     līdz 6 m3/h</t>
      </text>
    </comment>
    <comment ref="D19" authorId="19" shapeId="0" xr:uid="{A4C7C9E1-59D7-45F4-A7D0-80611FEDCFC1}">
      <text>
        <t>[Komentārs ar pavedienu]
Jūsu Excel versija ļauj lasīt šo komentāru ar pavedienu, tomēr visi tā labojumi tiks noņemti, ja fails tiks atvērts jaunākā Excel versijā. Papildinformācija: https://go.microsoft.com/fwlink/?linkid=870924
Komentārs:
     līdz 6 m3/h</t>
      </text>
    </comment>
    <comment ref="B21" authorId="20" shapeId="0" xr:uid="{1D2DC1AE-D9B1-4D8B-BD4F-BCDF20288CAD}">
      <text>
        <t>[Komentārs ar pavedienu]
Jūsu Excel versija ļauj lasīt šo komentāru ar pavedienu, tomēr visi tā labojumi tiks noņemti, ja fails tiks atvērts jaunākā Excel versijā. Papildinformācija: https://go.microsoft.com/fwlink/?linkid=870924
Komentārs:
    https://www.lpg.lv/lv/private/house/aboveground-tank/</t>
      </text>
    </comment>
    <comment ref="C21" authorId="21" shapeId="0" xr:uid="{830D26F1-492B-465C-8925-2924B9EB4D9C}">
      <text>
        <t>[Komentārs ar pavedienu]
Jūsu Excel versija ļauj lasīt šo komentāru ar pavedienu, tomēr visi tā labojumi tiks noņemti, ja fails tiks atvērts jaunākā Excel versijā. Papildinformācija: https://go.microsoft.com/fwlink/?linkid=870924
Komentārs:
    https://gazes.lv/?r=calculator-gas-pellets</t>
      </text>
    </comment>
    <comment ref="B22" authorId="22" shapeId="0" xr:uid="{D01FD51F-BC27-4C16-8E84-4B174E0CAC6E}">
      <text>
        <t>[Komentārs ar pavedienu]
Jūsu Excel versija ļauj lasīt šo komentāru ar pavedienu, tomēr visi tā labojumi tiks noņemti, ja fails tiks atvērts jaunākā Excel versijā. Papildinformācija: https://go.microsoft.com/fwlink/?linkid=870924
Komentārs:
    https://www.rs.lv/saturs/rigas-siltums-siltumenergijas-tarifs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tc={173A38B2-09E7-4CB2-BC38-C13908ABCFBC}</author>
    <author>tc={7F155FA4-E27F-4DD1-90E9-A8E9431864BE}</author>
    <author>tc={D31793A4-537F-4384-9F5A-AF58F2F0EDCD}</author>
    <author>tc={858809DE-802B-483E-9333-73CBE0D231FD}</author>
    <author>tc={93B13254-70A9-461B-8A87-EA7C71E523AD}</author>
    <author>tc={15EB2C4B-A9F1-431F-B601-D2404A200CBA}</author>
    <author>tc={0313EBAE-C56E-4206-B6A1-72B5DE1CEFA7}</author>
    <author>tc={0B3088A8-0595-42FB-B528-C8BA29AE3746}</author>
    <author>tc={6F9B5B69-29A7-43A1-A6F5-F955E826CF83}</author>
    <author>tc={3E5C553D-2E14-4CF5-BF57-66004D755D2D}</author>
    <author>tc={AFFEB28E-F4B9-430C-885C-BCA498E094FA}</author>
    <author>tc={647A1DF7-8BBB-40AB-9185-9943A956EEE3}</author>
    <author>tc={B85E6CC9-4F09-47B6-A2AD-DC933FBFB404}</author>
    <author>tc={7A941CD7-E7C2-41F8-8363-FE041C72298F}</author>
    <author>tc={C1E1CE75-B0F9-4A3D-9BA4-2FE04FAD9BB6}</author>
    <author>tc={D1425952-6961-4F37-8181-EEC37B08DDF7}</author>
    <author>tc={F949B27A-5E45-46C9-94D2-3AA5AEB79A6E}</author>
    <author>tc={3CA290FE-707C-4C0C-9A3F-815C9CF2F2EC}</author>
    <author>tc={3BD256F9-1E5E-4CDF-853E-FCC06D53FB33}</author>
    <author>tc={1733E1B4-078C-42E9-BE8B-ED389F3A5637}</author>
    <author>tc={81D4A054-B199-4D04-A805-F4A011E1C343}</author>
    <author>tc={E2413BD5-46B4-4341-8B2D-9B12641A1EB1}</author>
    <author>tc={7C60DE86-7976-4137-8E65-BBEC754602C9}</author>
    <author>tc={EAD9E2B9-5FF1-49A8-A1D8-08D08BC01451}</author>
    <author>tc={BF360EB7-431C-4392-87F3-DACCE6F25F10}</author>
    <author>tc={C2D5D6FC-6286-4821-B451-1EC45D10E2C1}</author>
    <author>tc={F11EDF36-A821-43B5-B113-2FF005733E9A}</author>
    <author>tc={7ACDB5C8-D0FC-466E-A429-1307EE509D99}</author>
  </authors>
  <commentList>
    <comment ref="H3" authorId="0" shapeId="0" xr:uid="{173A38B2-09E7-4CB2-BC38-C13908ABCFBC}">
      <text>
        <t>[Komentārs ar pavedienu]
Jūsu Excel versija ļauj lasīt šo komentāru ar pavedienu, tomēr visi tā labojumi tiks noņemti, ja fails tiks atvērts jaunākā Excel versijā. Papildinformācija: https://go.microsoft.com/fwlink/?linkid=870924
Komentārs:
    https://hmstechnical.lv/produkti/midea-siltumsukni/</t>
      </text>
    </comment>
    <comment ref="E4" authorId="1" shapeId="0" xr:uid="{7F155FA4-E27F-4DD1-90E9-A8E9431864BE}">
      <text>
        <t>[Komentārs ar pavedienu]
Jūsu Excel versija ļauj lasīt šo komentāru ar pavedienu, tomēr visi tā labojumi tiks noņemti, ja fails tiks atvērts jaunākā Excel versijā. Papildinformācija: https://go.microsoft.com/fwlink/?linkid=870924
Komentārs:
    https://klimats.lv/product/daikin-gaiss-udens-siltumsuknis-altherma-ehvx08s18e9w-erga06evh-60kw-180l-tvertne-r32/</t>
      </text>
    </comment>
    <comment ref="D5" authorId="2" shapeId="0" xr:uid="{D31793A4-537F-4384-9F5A-AF58F2F0EDCD}">
      <text>
        <t>[Komentārs ar pavedienu]
Jūsu Excel versija ļauj lasīt šo komentāru ar pavedienu, tomēr visi tā labojumi tiks noņemti, ja fails tiks atvērts jaunākā Excel versijā. Papildinformācija: https://go.microsoft.com/fwlink/?linkid=870924
Komentārs:
    https://www.mksystems.lv/viessmann-vitocal-111-s-gaiss-udens-siltumsuknis-viss-viena-ar-boileri-r32-6kw</t>
      </text>
    </comment>
    <comment ref="F6" authorId="3" shapeId="0" xr:uid="{858809DE-802B-483E-9333-73CBE0D231FD}">
      <text>
        <t>[Komentārs ar pavedienu]
Jūsu Excel versija ļauj lasīt šo komentāru ar pavedienu, tomēr visi tā labojumi tiks noņemti, ja fails tiks atvērts jaunākā Excel versijā. Papildinformācija: https://go.microsoft.com/fwlink/?linkid=870924
Komentārs:
    https://elektrumveikals.lv/lv/majai/apkures-risinajumi/siltumsukni-apkurei</t>
      </text>
    </comment>
    <comment ref="H7" authorId="4" shapeId="0" xr:uid="{93B13254-70A9-461B-8A87-EA7C71E523AD}">
      <text>
        <t>[Komentārs ar pavedienu]
Jūsu Excel versija ļauj lasīt šo komentāru ar pavedienu, tomēr visi tā labojumi tiks noņemti, ja fails tiks atvērts jaunākā Excel versijā. Papildinformācija: https://go.microsoft.com/fwlink/?linkid=870924
Komentārs:
    https://hmstechnical.lv/produkti/midea-siltumsukni/</t>
      </text>
    </comment>
    <comment ref="C8" authorId="5" shapeId="0" xr:uid="{15EB2C4B-A9F1-431F-B601-D2404A200CBA}">
      <text>
        <t>[Komentārs ar pavedienu]
Jūsu Excel versija ļauj lasīt šo komentāru ar pavedienu, tomēr visi tā labojumi tiks noņemti, ja fails tiks atvērts jaunākā Excel versijā. Papildinformācija: https://go.microsoft.com/fwlink/?linkid=870924
Komentārs:
    https://sildamies.lv/products/gaiss-udens-siltumsuknis-alpha-innotec-alira-lwd-7-kw-ar-180-l-ku-tvertni/</t>
      </text>
    </comment>
    <comment ref="C9" authorId="6" shapeId="0" xr:uid="{0313EBAE-C56E-4206-B6A1-72B5DE1CEFA7}">
      <text>
        <t>[Komentārs ar pavedienu]
Jūsu Excel versija ļauj lasīt šo komentāru ar pavedienu, tomēr visi tā labojumi tiks noņemti, ja fails tiks atvērts jaunākā Excel versijā. Papildinformācija: https://go.microsoft.com/fwlink/?linkid=870924
Komentārs:
    https://sildamies.lv/products/gaiss-udens-siltumsuknis-mitsubishi-ecodan-power-inverter-8-kw-ar-300-l-ku-tvertni/</t>
      </text>
    </comment>
    <comment ref="E10" authorId="7" shapeId="0" xr:uid="{0B3088A8-0595-42FB-B528-C8BA29AE3746}">
      <text>
        <t>[Komentārs ar pavedienu]
Jūsu Excel versija ļauj lasīt šo komentāru ar pavedienu, tomēr visi tā labojumi tiks noņemti, ja fails tiks atvērts jaunākā Excel versijā. Papildinformācija: https://go.microsoft.com/fwlink/?linkid=870924
Komentārs:
    https://klimats.lv/product/daikin-gaiss-udens-siltumsuknis-altherma-ehvx08s18e6v-erga08evh-80kw-180l-tvertne-r32/</t>
      </text>
    </comment>
    <comment ref="G11" authorId="8" shapeId="0" xr:uid="{6F9B5B69-29A7-43A1-A6F5-F955E826CF83}">
      <text>
        <t>[Komentārs ar pavedienu]
Jūsu Excel versija ļauj lasīt šo komentāru ar pavedienu, tomēr visi tā labojumi tiks noņemti, ja fails tiks atvērts jaunākā Excel versijā. Papildinformācija: https://go.microsoft.com/fwlink/?linkid=870924
Komentārs:
    https://commodus.lv/gaiss-udens-siltumsuknis-no-mitsubishi-hydrolution-serijas</t>
      </text>
    </comment>
    <comment ref="H12" authorId="9" shapeId="0" xr:uid="{3E5C553D-2E14-4CF5-BF57-66004D755D2D}">
      <text>
        <t>[Komentārs ar pavedienu]
Jūsu Excel versija ļauj lasīt šo komentāru ar pavedienu, tomēr visi tā labojumi tiks noņemti, ja fails tiks atvērts jaunākā Excel versijā. Papildinformācija: https://go.microsoft.com/fwlink/?linkid=870924
Komentārs:
    https://hmstechnical.lv/produkti/midea-siltumsukni/</t>
      </text>
    </comment>
    <comment ref="F13" authorId="10" shapeId="0" xr:uid="{AFFEB28E-F4B9-430C-885C-BCA498E094FA}">
      <text>
        <t>[Komentārs ar pavedienu]
Jūsu Excel versija ļauj lasīt šo komentāru ar pavedienu, tomēr visi tā labojumi tiks noņemti, ja fails tiks atvērts jaunākā Excel versijā. Papildinformācija: https://go.microsoft.com/fwlink/?linkid=870924
Komentārs:
    https://elektrumveikals.lv/lv/majai/apkures-risinajumi/siltumsukni-apkurei</t>
      </text>
    </comment>
    <comment ref="G14" authorId="11" shapeId="0" xr:uid="{647A1DF7-8BBB-40AB-9185-9943A956EEE3}">
      <text>
        <t>[Komentārs ar pavedienu]
Jūsu Excel versija ļauj lasīt šo komentāru ar pavedienu, tomēr visi tā labojumi tiks noņemti, ja fails tiks atvērts jaunākā Excel versijā. Papildinformācija: https://go.microsoft.com/fwlink/?linkid=870924
Komentārs:
    https://commodus.lv/gaiss-udens-siltumsuknis-no-mitsubishi-hydrolution-serijas</t>
      </text>
    </comment>
    <comment ref="D15" authorId="12" shapeId="0" xr:uid="{B85E6CC9-4F09-47B6-A2AD-DC933FBFB404}">
      <text>
        <t>[Komentārs ar pavedienu]
Jūsu Excel versija ļauj lasīt šo komentāru ar pavedienu, tomēr visi tā labojumi tiks noņemti, ja fails tiks atvērts jaunākā Excel versijā. Papildinformācija: https://go.microsoft.com/fwlink/?linkid=870924
Komentārs:
    https://www.mksystems.lv/viessmann-vitocal-222-s-gaiss-udens-siltumsuknis-viss-viena-ar-boileri-r410a-trisfazu-10kw</t>
      </text>
    </comment>
    <comment ref="C16" authorId="13" shapeId="0" xr:uid="{7A941CD7-E7C2-41F8-8363-FE041C72298F}">
      <text>
        <t>[Komentārs ar pavedienu]
Jūsu Excel versija ļauj lasīt šo komentāru ar pavedienu, tomēr visi tā labojumi tiks noņemti, ja fails tiks atvērts jaunākā Excel versijā. Papildinformācija: https://go.microsoft.com/fwlink/?linkid=870924
Komentārs:
    https://sildamies.lv/products/gaiss-udens-siltumsuknis-mitsubishi-ecodan-power-inverter-10-kw-ar-200-l-ku-tvertni/</t>
      </text>
    </comment>
    <comment ref="H17" authorId="14" shapeId="0" xr:uid="{C1E1CE75-B0F9-4A3D-9BA4-2FE04FAD9BB6}">
      <text>
        <t>[Komentārs ar pavedienu]
Jūsu Excel versija ļauj lasīt šo komentāru ar pavedienu, tomēr visi tā labojumi tiks noņemti, ja fails tiks atvērts jaunākā Excel versijā. Papildinformācija: https://go.microsoft.com/fwlink/?linkid=870924
Komentārs:
    https://hmstechnical.lv/produkti/midea-siltumsukni/</t>
      </text>
    </comment>
    <comment ref="E18" authorId="15" shapeId="0" xr:uid="{D1425952-6961-4F37-8181-EEC37B08DDF7}">
      <text>
        <t>[Komentārs ar pavedienu]
Jūsu Excel versija ļauj lasīt šo komentāru ar pavedienu, tomēr visi tā labojumi tiks noņemti, ja fails tiks atvērts jaunākā Excel versijā. Papildinformācija: https://go.microsoft.com/fwlink/?linkid=870924
Komentārs:
    https://klimats.lv/product/daikin-gaiss-udens-siltumsuknis-altherma-ebvx11s18d9w-erla11dw1-106kw-180l-tvertne-r32/</t>
      </text>
    </comment>
    <comment ref="F19" authorId="16" shapeId="0" xr:uid="{F949B27A-5E45-46C9-94D2-3AA5AEB79A6E}">
      <text>
        <t>[Komentārs ar pavedienu]
Jūsu Excel versija ļauj lasīt šo komentāru ar pavedienu, tomēr visi tā labojumi tiks noņemti, ja fails tiks atvērts jaunākā Excel versijā. Papildinformācija: https://go.microsoft.com/fwlink/?linkid=870924
Komentārs:
    https://elektrumveikals.lv/lv/majai/apkures-risinajumi/siltumsukni-apkurei</t>
      </text>
    </comment>
    <comment ref="H20" authorId="17" shapeId="0" xr:uid="{3CA290FE-707C-4C0C-9A3F-815C9CF2F2EC}">
      <text>
        <t>[Komentārs ar pavedienu]
Jūsu Excel versija ļauj lasīt šo komentāru ar pavedienu, tomēr visi tā labojumi tiks noņemti, ja fails tiks atvērts jaunākā Excel versijā. Papildinformācija: https://go.microsoft.com/fwlink/?linkid=870924
Komentārs:
    https://hmstechnical.lv/produkti/midea-siltumsukni/</t>
      </text>
    </comment>
    <comment ref="C21" authorId="18" shapeId="0" xr:uid="{3BD256F9-1E5E-4CDF-853E-FCC06D53FB33}">
      <text>
        <t>[Komentārs ar pavedienu]
Jūsu Excel versija ļauj lasīt šo komentāru ar pavedienu, tomēr visi tā labojumi tiks noņemti, ja fails tiks atvērts jaunākā Excel versijā. Papildinformācija: https://go.microsoft.com/fwlink/?linkid=870924
Komentārs:
    https://sildamies.lv/products/intustrialais-gaiss-udens-siltumsuknis-alpha-innotec-alira-lw-140a-lux-2-0/</t>
      </text>
    </comment>
    <comment ref="H22" authorId="19" shapeId="0" xr:uid="{1733E1B4-078C-42E9-BE8B-ED389F3A5637}">
      <text>
        <t>[Komentārs ar pavedienu]
Jūsu Excel versija ļauj lasīt šo komentāru ar pavedienu, tomēr visi tā labojumi tiks noņemti, ja fails tiks atvērts jaunākā Excel versijā. Papildinformācija: https://go.microsoft.com/fwlink/?linkid=870924
Komentārs:
    https://hmstechnical.lv/produkti/midea-siltumsukni/</t>
      </text>
    </comment>
    <comment ref="D23" authorId="20" shapeId="0" xr:uid="{81D4A054-B199-4D04-A805-F4A011E1C343}">
      <text>
        <t>[Komentārs ar pavedienu]
Jūsu Excel versija ļauj lasīt šo komentāru ar pavedienu, tomēr visi tā labojumi tiks noņemti, ja fails tiks atvērts jaunākā Excel versijā. Papildinformācija: https://go.microsoft.com/fwlink/?linkid=870924
Komentārs:
    https://www.mksystems.lv/panasonic-aquarea-gaiss-udens-siltumsuknis-viss-viena-ar-boileri-trisfazu-16kw</t>
      </text>
    </comment>
    <comment ref="E24" authorId="21" shapeId="0" xr:uid="{E2413BD5-46B4-4341-8B2D-9B12641A1EB1}">
      <text>
        <t>[Komentārs ar pavedienu]
Jūsu Excel versija ļauj lasīt šo komentāru ar pavedienu, tomēr visi tā labojumi tiks noņemti, ja fails tiks atvērts jaunākā Excel versijā. Papildinformācija: https://go.microsoft.com/fwlink/?linkid=870924
Komentārs:
    https://klimats.lv/product/daikin-gaiss-udens-siltumsuknis-altherma-ebvx16s23d6v-erla16dv3-16kw-230l-tvertne-r32/</t>
      </text>
    </comment>
    <comment ref="F25" authorId="22" shapeId="0" xr:uid="{7C60DE86-7976-4137-8E65-BBEC754602C9}">
      <text>
        <t>[Komentārs ar pavedienu]
Jūsu Excel versija ļauj lasīt šo komentāru ar pavedienu, tomēr visi tā labojumi tiks noņemti, ja fails tiks atvērts jaunākā Excel versijā. Papildinformācija: https://go.microsoft.com/fwlink/?linkid=870924
Komentārs:
    https://elektrumveikals.lv/lv/majai/apkures-risinajumi/siltumsukni-apkurei</t>
      </text>
    </comment>
    <comment ref="G26" authorId="23" shapeId="0" xr:uid="{EAD9E2B9-5FF1-49A8-A1D8-08D08BC01451}">
      <text>
        <t>[Komentārs ar pavedienu]
Jūsu Excel versija ļauj lasīt šo komentāru ar pavedienu, tomēr visi tā labojumi tiks noņemti, ja fails tiks atvērts jaunākā Excel versijā. Papildinformācija: https://go.microsoft.com/fwlink/?linkid=870924
Komentārs:
    https://commodus.lv/gaiss-udens-siltumsuknis-no-mitsubishi-hydrolution-serijas</t>
      </text>
    </comment>
    <comment ref="H27" authorId="24" shapeId="0" xr:uid="{BF360EB7-431C-4392-87F3-DACCE6F25F10}">
      <text>
        <t>[Komentārs ar pavedienu]
Jūsu Excel versija ļauj lasīt šo komentāru ar pavedienu, tomēr visi tā labojumi tiks noņemti, ja fails tiks atvērts jaunākā Excel versijā. Papildinformācija: https://go.microsoft.com/fwlink/?linkid=870924
Komentārs:
    https://hmstechnical.lv/produkti/midea-siltumsukni/</t>
      </text>
    </comment>
    <comment ref="C28" authorId="25" shapeId="0" xr:uid="{C2D5D6FC-6286-4821-B451-1EC45D10E2C1}">
      <text>
        <t>[Komentārs ar pavedienu]
Jūsu Excel versija ļauj lasīt šo komentāru ar pavedienu, tomēr visi tā labojumi tiks noņemti, ja fails tiks atvērts jaunākā Excel versijā. Papildinformācija: https://go.microsoft.com/fwlink/?linkid=870924
Komentārs:
    https://sildamies.lv/products/intustrialais-gaiss-udens-siltumsuknis-alpha-innotec-alira-lw-180a-lux-2-0/</t>
      </text>
    </comment>
    <comment ref="C29" authorId="26" shapeId="0" xr:uid="{F11EDF36-A821-43B5-B113-2FF005733E9A}">
      <text>
        <t>[Komentārs ar pavedienu]
Jūsu Excel versija ļauj lasīt šo komentāru ar pavedienu, tomēr visi tā labojumi tiks noņemti, ja fails tiks atvērts jaunākā Excel versijā. Papildinformācija: https://go.microsoft.com/fwlink/?linkid=870924
Komentārs:
    https://sildamies.lv/products/intustrialais-gaiss-udens-siltumsuknis-alpha-innotec-alira-pro-lw-251a-lux-2-0/</t>
      </text>
    </comment>
    <comment ref="C30" authorId="27" shapeId="0" xr:uid="{7ACDB5C8-D0FC-466E-A429-1307EE509D99}">
      <text>
        <t>[Komentārs ar pavedienu]
Jūsu Excel versija ļauj lasīt šo komentāru ar pavedienu, tomēr visi tā labojumi tiks noņemti, ja fails tiks atvērts jaunākā Excel versijā. Papildinformācija: https://go.microsoft.com/fwlink/?linkid=870924
Komentārs:
    https://sildamies.lv/products/intustrialais-gaiss-udens-siltumsuknis-alpha-innotec-alira-pro-lw-300a-lux-2-0/</t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tc={C5A61762-3E56-4A68-9DEF-217AAAEBD785}</author>
    <author>tc={8E80B370-0FE0-480B-AF79-F65690FCA835}</author>
    <author>tc={2A4F4010-1A87-486D-9689-EDCBAB1E1006}</author>
    <author>tc={B5C9E756-6895-46AB-8433-5FB8E902E5D5}</author>
    <author>tc={A202C716-24F8-466D-87BB-C7C76ABF942B}</author>
    <author>tc={379B7424-AE63-4E68-AA49-4AB85A259DBA}</author>
    <author>tc={192BC8BE-7CAC-4FD8-A2EF-61EF1018AD20}</author>
    <author>tc={CDF6CDC4-7F9C-41AB-92F1-40513CAC7B79}</author>
    <author>tc={AB1C989A-AA13-4607-B0BF-443FEBF8283B}</author>
    <author>tc={1B79D728-79F8-49D7-B93E-0505B5A0D78E}</author>
    <author>tc={35030C2F-5300-481C-9A5A-907254A4599F}</author>
    <author>tc={C5E6AB07-0D9E-47D1-A58F-43CA33B0AB24}</author>
    <author>tc={31E71E4E-D6CA-483E-BD95-A2EC6B6E236E}</author>
    <author>tc={2A265BB2-72D9-4F1E-B605-433F62BBA05A}</author>
    <author>tc={71A94A93-457B-494F-8B88-A2519A486DDF}</author>
    <author>tc={327F0D7D-3ECD-451D-A507-8EBF1AA5A1FF}</author>
  </authors>
  <commentList>
    <comment ref="D3" authorId="0" shapeId="0" xr:uid="{C5A61762-3E56-4A68-9DEF-217AAAEBD785}">
      <text>
        <t>[Komentārs ar pavedienu]
Jūsu Excel versija ļauj lasīt šo komentāru ar pavedienu, tomēr visi tā labojumi tiks noņemti, ja fails tiks atvērts jaunākā Excel versijā. Papildinformācija: https://go.microsoft.com/fwlink/?linkid=870924
Komentārs:
    https://www.sbshop.lv/katalogs/apkures-katli/sokol-apkures-katli/sokol-granulu-apkures-katli-slim-pellet/</t>
      </text>
    </comment>
    <comment ref="D4" authorId="1" shapeId="0" xr:uid="{8E80B370-0FE0-480B-AF79-F65690FCA835}">
      <text>
        <t>[Komentārs ar pavedienu]
Jūsu Excel versija ļauj lasīt šo komentāru ar pavedienu, tomēr visi tā labojumi tiks noņemti, ja fails tiks atvērts jaunākā Excel versijā. Papildinformācija: https://go.microsoft.com/fwlink/?linkid=870924
Komentārs:
    https://www.sbshop.lv/katalogs/apkures-katli/sokol-apkures-katli/sokol-granulu-apkures-katli-slim-pellet/</t>
      </text>
    </comment>
    <comment ref="D5" authorId="2" shapeId="0" xr:uid="{2A4F4010-1A87-486D-9689-EDCBAB1E1006}">
      <text>
        <t>[Komentārs ar pavedienu]
Jūsu Excel versija ļauj lasīt šo komentāru ar pavedienu, tomēr visi tā labojumi tiks noņemti, ja fails tiks atvērts jaunākā Excel versijā. Papildinformācija: https://go.microsoft.com/fwlink/?linkid=870924
Komentārs:
    https://www.sbshop.lv/katalogs/apkures-katli/sokol-apkures-katli/sokol-granulu-apkures-katli-slim-pellet/</t>
      </text>
    </comment>
    <comment ref="E6" authorId="3" shapeId="0" xr:uid="{B5C9E756-6895-46AB-8433-5FB8E902E5D5}">
      <text>
        <t>[Komentārs ar pavedienu]
Jūsu Excel versija ļauj lasīt šo komentāru ar pavedienu, tomēr visi tā labojumi tiks noņemti, ja fails tiks atvērts jaunākā Excel versijā. Papildinformācija: https://go.microsoft.com/fwlink/?linkid=870924
Komentārs:
    https://komforts.net/product/granulu-apkures-katls-interio-15-ar-granulu-tvertni-50kg-00015</t>
      </text>
    </comment>
    <comment ref="E7" authorId="4" shapeId="0" xr:uid="{A202C716-24F8-466D-87BB-C7C76ABF942B}">
      <text>
        <t>[Komentārs ar pavedienu]
Jūsu Excel versija ļauj lasīt šo komentāru ar pavedienu, tomēr visi tā labojumi tiks noņemti, ja fails tiks atvērts jaunākā Excel versijā. Papildinformācija: https://go.microsoft.com/fwlink/?linkid=870924
Komentārs:
    https://komforts.net/product/granulu-apkures-katls-pelling-25-maxi-ar-granulu-tvertni-135kg-kreisa-puse-00025ml</t>
      </text>
    </comment>
    <comment ref="E8" authorId="5" shapeId="0" xr:uid="{379B7424-AE63-4E68-AA49-4AB85A259DBA}">
      <text>
        <t>[Komentārs ar pavedienu]
Jūsu Excel versija ļauj lasīt šo komentāru ar pavedienu, tomēr visi tā labojumi tiks noņemti, ja fails tiks atvērts jaunākā Excel versijā. Papildinformācija: https://go.microsoft.com/fwlink/?linkid=870924
Komentārs:
    https://komforts.net/product/granulu-apkures-katls-pelling-35-maxi-ar-granulu-tvertni-151kg-kreisa-puse-00035ml</t>
      </text>
    </comment>
    <comment ref="E9" authorId="6" shapeId="0" xr:uid="{192BC8BE-7CAC-4FD8-A2EF-61EF1018AD20}">
      <text>
        <t>[Komentārs ar pavedienu]
Jūsu Excel versija ļauj lasīt šo komentāru ar pavedienu, tomēr visi tā labojumi tiks noņemti, ja fails tiks atvērts jaunākā Excel versijā. Papildinformācija: https://go.microsoft.com/fwlink/?linkid=870924
Komentārs:
    https://komforts.net/product/granulu-apkures-katls-pelling-50-maxi-ar-granulu-tvertni-185kg-kreisa-puse-00050ml</t>
      </text>
    </comment>
    <comment ref="E10" authorId="7" shapeId="0" xr:uid="{CDF6CDC4-7F9C-41AB-92F1-40513CAC7B79}">
      <text>
        <t>[Komentārs ar pavedienu]
Jūsu Excel versija ļauj lasīt šo komentāru ar pavedienu, tomēr visi tā labojumi tiks noņemti, ja fails tiks atvērts jaunākā Excel versijā. Papildinformācija: https://go.microsoft.com/fwlink/?linkid=870924
Komentārs:
    https://commodus.lv/en/granulu-katli</t>
      </text>
    </comment>
    <comment ref="E11" authorId="8" shapeId="0" xr:uid="{AB1C989A-AA13-4607-B0BF-443FEBF8283B}">
      <text>
        <t>[Komentārs ar pavedienu]
Jūsu Excel versija ļauj lasīt šo komentāru ar pavedienu, tomēr visi tā labojumi tiks noņemti, ja fails tiks atvērts jaunākā Excel versijā. Papildinformācija: https://go.microsoft.com/fwlink/?linkid=870924
Komentārs:
    https://commodus.lv/en/granulu-katli</t>
      </text>
    </comment>
    <comment ref="E12" authorId="9" shapeId="0" xr:uid="{1B79D728-79F8-49D7-B93E-0505B5A0D78E}">
      <text>
        <t>[Komentārs ar pavedienu]
Jūsu Excel versija ļauj lasīt šo komentāru ar pavedienu, tomēr visi tā labojumi tiks noņemti, ja fails tiks atvērts jaunākā Excel versijā. Papildinformācija: https://go.microsoft.com/fwlink/?linkid=870924
Komentārs:
    https://commodus.lv/en/granulu-katli</t>
      </text>
    </comment>
    <comment ref="E13" authorId="10" shapeId="0" xr:uid="{35030C2F-5300-481C-9A5A-907254A4599F}">
      <text>
        <t>[Komentārs ar pavedienu]
Jūsu Excel versija ļauj lasīt šo komentāru ar pavedienu, tomēr visi tā labojumi tiks noņemti, ja fails tiks atvērts jaunākā Excel versijā. Papildinformācija: https://go.microsoft.com/fwlink/?linkid=870924
Komentārs:
    https://commodus.lv/en/granulu-katli</t>
      </text>
    </comment>
    <comment ref="E14" authorId="11" shapeId="0" xr:uid="{C5E6AB07-0D9E-47D1-A58F-43CA33B0AB24}">
      <text>
        <t>[Komentārs ar pavedienu]
Jūsu Excel versija ļauj lasīt šo komentāru ar pavedienu, tomēr visi tā labojumi tiks noņemti, ja fails tiks atvērts jaunākā Excel versijā. Papildinformācija: https://go.microsoft.com/fwlink/?linkid=870924
Komentārs:
    https://commodus.lv/en/granulu-katli</t>
      </text>
    </comment>
    <comment ref="E15" authorId="12" shapeId="0" xr:uid="{31E71E4E-D6CA-483E-BD95-A2EC6B6E236E}">
      <text>
        <t>[Komentārs ar pavedienu]
Jūsu Excel versija ļauj lasīt šo komentāru ar pavedienu, tomēr visi tā labojumi tiks noņemti, ja fails tiks atvērts jaunākā Excel versijā. Papildinformācija: https://go.microsoft.com/fwlink/?linkid=870924
Komentārs:
    https://commodus.lv/en/opop-granulu-katli</t>
      </text>
    </comment>
    <comment ref="E16" authorId="13" shapeId="0" xr:uid="{2A265BB2-72D9-4F1E-B605-433F62BBA05A}">
      <text>
        <t>[Komentārs ar pavedienu]
Jūsu Excel versija ļauj lasīt šo komentāru ar pavedienu, tomēr visi tā labojumi tiks noņemti, ja fails tiks atvērts jaunākā Excel versijā. Papildinformācija: https://go.microsoft.com/fwlink/?linkid=870924
Komentārs:
    https://commodus.lv/en/opop-granulu-katli</t>
      </text>
    </comment>
    <comment ref="E17" authorId="14" shapeId="0" xr:uid="{71A94A93-457B-494F-8B88-A2519A486DDF}">
      <text>
        <t>[Komentārs ar pavedienu]
Jūsu Excel versija ļauj lasīt šo komentāru ar pavedienu, tomēr visi tā labojumi tiks noņemti, ja fails tiks atvērts jaunākā Excel versijā. Papildinformācija: https://go.microsoft.com/fwlink/?linkid=870924
Komentārs:
    https://commodus.lv/en/opop-granulu-katli</t>
      </text>
    </comment>
    <comment ref="E18" authorId="15" shapeId="0" xr:uid="{327F0D7D-3ECD-451D-A507-8EBF1AA5A1FF}">
      <text>
        <t>[Komentārs ar pavedienu]
Jūsu Excel versija ļauj lasīt šo komentāru ar pavedienu, tomēr visi tā labojumi tiks noņemti, ja fails tiks atvērts jaunākā Excel versijā. Papildinformācija: https://go.microsoft.com/fwlink/?linkid=870924
Komentārs:
    https://commodus.lv/en/opop-granulu-katli</t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tc={43960E1F-6483-4F92-92A8-1CC49562778A}</author>
    <author>tc={C1F5CD12-BDB2-48E0-9B8A-B74EBE74FD88}</author>
    <author>tc={08FA67AB-666E-48AC-A0FE-1CDE7F6EC903}</author>
    <author>tc={ABBEF1AE-01B3-46BB-89A3-433CF92B057B}</author>
    <author>tc={031168A9-AC01-4986-B654-A63195215E52}</author>
    <author>tc={1AC63FBB-BE75-41D9-A88F-F57F789143FA}</author>
    <author>tc={B6CD4241-67A1-4B7B-A543-FB990FC7E856}</author>
    <author>tc={470C6DC2-E9F3-4DD9-A856-E882EAE01876}</author>
    <author>tc={1481AC88-6057-4495-AE97-0A12D3D8DF19}</author>
    <author>tc={CEC295B5-02EB-4563-942D-3CA1F71D6FD2}</author>
    <author>tc={4B1DB781-FB16-4E5D-A6E8-3958AE122163}</author>
    <author>tc={9AB3A3F1-C1E9-46B7-9745-960CF11E1202}</author>
    <author>tc={C6F664BC-5F20-4C6B-B5A6-93466F8C43AC}</author>
    <author>tc={ACEE19C3-F752-47E6-9BB9-0D9832CC5EF9}</author>
    <author>tc={B56866E2-332F-4082-8AC7-4E04D294384B}</author>
  </authors>
  <commentList>
    <comment ref="D3" authorId="0" shapeId="0" xr:uid="{43960E1F-6483-4F92-92A8-1CC49562778A}">
      <text>
        <t>[Komentārs ar pavedienu]
Jūsu Excel versija ļauj lasīt šo komentāru ar pavedienu, tomēr visi tā labojumi tiks noņemti, ja fails tiks atvērts jaunākā Excel versijā. Papildinformācija: https://go.microsoft.com/fwlink/?linkid=870924
Komentārs:
    https://komforts.net/product/kondensacijas-katls-gc7000iw-42-p-erp-condens-cirkulacijas-7736901316</t>
      </text>
    </comment>
    <comment ref="D4" authorId="1" shapeId="0" xr:uid="{C1F5CD12-BDB2-48E0-9B8A-B74EBE74FD88}">
      <text>
        <t>[Komentārs ar pavedienu]
Jūsu Excel versija ļauj lasīt šo komentāru ar pavedienu, tomēr visi tā labojumi tiks noņemti, ja fails tiks atvērts jaunākā Excel versijā. Papildinformācija: https://go.microsoft.com/fwlink/?linkid=870924
Komentārs:
    https://komforts.net/product/kondensacijas-apkures-katls-vitocrossal-ci-280-kw-kaskades-vieniba-z017777</t>
      </text>
    </comment>
    <comment ref="D5" authorId="2" shapeId="0" xr:uid="{08FA67AB-666E-48AC-A0FE-1CDE7F6EC903}">
      <text>
        <t>[Komentārs ar pavedienu]
Jūsu Excel versija ļauj lasīt šo komentāru ar pavedienu, tomēr visi tā labojumi tiks noņemti, ja fails tiks atvērts jaunākā Excel versijā. Papildinformācija: https://go.microsoft.com/fwlink/?linkid=870924
Komentārs:
    https://komforts.net/product/kondensacijas-katls-gc7000iw-35-p-erp-condens-cirkulacijas-7736901315</t>
      </text>
    </comment>
    <comment ref="D6" authorId="3" shapeId="0" xr:uid="{ABBEF1AE-01B3-46BB-89A3-433CF92B057B}">
      <text>
        <t>[Komentārs ar pavedienu]
Jūsu Excel versija ļauj lasīt šo komentāru ar pavedienu, tomēr visi tā labojumi tiks noņemti, ja fails tiks atvērts jaunākā Excel versijā. Papildinformācija: https://go.microsoft.com/fwlink/?linkid=870924
Komentārs:
    https://komforts.net/product/kondensacijas-apkures-katls-vitocrossal-cib-200-kw-kaskades-vieniba-z017789</t>
      </text>
    </comment>
    <comment ref="E7" authorId="4" shapeId="0" xr:uid="{031168A9-AC01-4986-B654-A63195215E52}">
      <text>
        <t>[Komentārs ar pavedienu]
Jūsu Excel versija ļauj lasīt šo komentāru ar pavedienu, tomēr visi tā labojumi tiks noņemti, ja fails tiks atvērts jaunākā Excel versijā. Papildinformācija: https://go.microsoft.com/fwlink/?linkid=870924
Komentārs:
    https://apkureskatli.lv/apkures-katli/gazes-katli/sadzives-katli/gazes-katls-bluehelix-tech-18a/</t>
      </text>
    </comment>
    <comment ref="E8" authorId="5" shapeId="0" xr:uid="{1AC63FBB-BE75-41D9-A88F-F57F789143FA}">
      <text>
        <t>[Komentārs ar pavedienu]
Jūsu Excel versija ļauj lasīt šo komentāru ar pavedienu, tomēr visi tā labojumi tiks noņemti, ja fails tiks atvērts jaunākā Excel versijā. Papildinformācija: https://go.microsoft.com/fwlink/?linkid=870924
Komentārs:
    https://apkureskatli.lv/apkures-katli/gazes-katli/bluehelix-hitech-rrt-28c/</t>
      </text>
    </comment>
    <comment ref="F9" authorId="6" shapeId="0" xr:uid="{B6CD4241-67A1-4B7B-A543-FB990FC7E856}">
      <text>
        <t>[Komentārs ar pavedienu]
Jūsu Excel versija ļauj lasīt šo komentāru ar pavedienu, tomēr visi tā labojumi tiks noņemti, ja fails tiks atvērts jaunākā Excel versijā. Papildinformācija: https://go.microsoft.com/fwlink/?linkid=870924
Komentārs:
    https://prof.lv/gc2300iw-bosch-condens-gc2300iw-15p-kondensacijas-gazes-apkures-katls-15kw-7736901536?jauda_kw=118764&amp;piesleguma_veids=120039</t>
      </text>
    </comment>
    <comment ref="F10" authorId="7" shapeId="0" xr:uid="{470C6DC2-E9F3-4DD9-A856-E882EAE01876}">
      <text>
        <t>[Komentārs ar pavedienu]
Jūsu Excel versija ļauj lasīt šo komentāru ar pavedienu, tomēr visi tā labojumi tiks noņemti, ja fails tiks atvērts jaunākā Excel versijā. Papildinformācija: https://go.microsoft.com/fwlink/?linkid=870924
Komentārs:
    https://prof.lv/gc9000i-w-bosch-condens-gc9000i-w-20e-kondensacijas-gazes-apkures-katls-20kw-7736701320?jauda_kw=118766</t>
      </text>
    </comment>
    <comment ref="F11" authorId="8" shapeId="0" xr:uid="{1481AC88-6057-4495-AE97-0A12D3D8DF19}">
      <text>
        <t>[Komentārs ar pavedienu]
Jūsu Excel versija ļauj lasīt šo komentāru ar pavedienu, tomēr visi tā labojumi tiks noņemti, ja fails tiks atvērts jaunākā Excel versijā. Papildinformācija: https://go.microsoft.com/fwlink/?linkid=870924
Komentārs:
    https://prof.lv/gc9000i-w-bosch-condens-gc9000i-w-20e-kondensacijas-gazes-apkures-katls-20kw-7736701320?jauda_kw=120043</t>
      </text>
    </comment>
    <comment ref="F12" authorId="9" shapeId="0" xr:uid="{CEC295B5-02EB-4563-942D-3CA1F71D6FD2}">
      <text>
        <t>[Komentārs ar pavedienu]
Jūsu Excel versija ļauj lasīt šo komentāru ar pavedienu, tomēr visi tā labojumi tiks noņemti, ja fails tiks atvērts jaunākā Excel versijā. Papildinformācija: https://go.microsoft.com/fwlink/?linkid=870924
Komentārs:
    https://prof.lv/gc9000i-w-bosch-condens-gc9000i-w-20e-kondensacijas-gazes-apkures-katls-20kw-7736701320?jauda_kw=120044</t>
      </text>
    </comment>
    <comment ref="F13" authorId="10" shapeId="0" xr:uid="{4B1DB781-FB16-4E5D-A6E8-3958AE122163}">
      <text>
        <t>[Komentārs ar pavedienu]
Jūsu Excel versija ļauj lasīt šo komentāru ar pavedienu, tomēr visi tā labojumi tiks noņemti, ja fails tiks atvērts jaunākā Excel versijā. Papildinformācija: https://go.microsoft.com/fwlink/?linkid=870924
Komentārs:
    https://prof.lv/gc9000i-w-bosch-condens-gc9000i-w-20e-kondensacijas-gazes-apkures-katls-20kw-7736701320?jauda_kw=120008</t>
      </text>
    </comment>
    <comment ref="G14" authorId="11" shapeId="0" xr:uid="{9AB3A3F1-C1E9-46B7-9745-960CF11E1202}">
      <text>
        <t>[Komentārs ar pavedienu]
Jūsu Excel versija ļauj lasīt šo komentāru ar pavedienu, tomēr visi tā labojumi tiks noņemti, ja fails tiks atvērts jaunākā Excel versijā. Papildinformācija: https://go.microsoft.com/fwlink/?linkid=870924
Komentārs:
    https://www.sbsiltumtehnika.lv/lv/precu-katalogs/-1708618</t>
      </text>
    </comment>
    <comment ref="G15" authorId="12" shapeId="0" xr:uid="{C6F664BC-5F20-4C6B-B5A6-93466F8C43AC}">
      <text>
        <t>[Komentārs ar pavedienu]
Jūsu Excel versija ļauj lasīt šo komentāru ar pavedienu, tomēr visi tā labojumi tiks noņemti, ja fails tiks atvērts jaunākā Excel versijā. Papildinformācija: https://go.microsoft.com/fwlink/?linkid=870924
Komentārs:
    https://www.sbsiltumtehnika.lv/lv/precu-katalogs/-1708618</t>
      </text>
    </comment>
    <comment ref="G16" authorId="13" shapeId="0" xr:uid="{ACEE19C3-F752-47E6-9BB9-0D9832CC5EF9}">
      <text>
        <t>[Komentārs ar pavedienu]
Jūsu Excel versija ļauj lasīt šo komentāru ar pavedienu, tomēr visi tā labojumi tiks noņemti, ja fails tiks atvērts jaunākā Excel versijā. Papildinformācija: https://go.microsoft.com/fwlink/?linkid=870924
Komentārs:
    https://www.sbsiltumtehnika.lv/lv/precu-katalogs/-1708618</t>
      </text>
    </comment>
    <comment ref="G17" authorId="14" shapeId="0" xr:uid="{B56866E2-332F-4082-8AC7-4E04D294384B}">
      <text>
        <t>[Komentārs ar pavedienu]
Jūsu Excel versija ļauj lasīt šo komentāru ar pavedienu, tomēr visi tā labojumi tiks noņemti, ja fails tiks atvērts jaunākā Excel versijā. Papildinformācija: https://go.microsoft.com/fwlink/?linkid=870924
Komentārs:
    https://www.sbsiltumtehnika.lv/lv/precu-katalogs/-1708618</t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tc={402747DF-0A90-4277-8C55-1834F26851A6}</author>
    <author>tc={5562D5AD-C586-4EC5-A684-AB7EBDE8F6CB}</author>
    <author>tc={96717EEF-10E4-4A53-B88D-089DEBE4AC4A}</author>
    <author>tc={55E1B975-7785-4171-9017-CCF26650CFC2}</author>
    <author>tc={190C33C2-E286-4885-BDA9-643A9FD52B33}</author>
    <author>tc={A36D7B3A-ADCC-4695-9573-ED57F7120100}</author>
    <author>tc={00AE1978-059F-4409-A251-4D12087A9C7C}</author>
    <author>tc={878B3F84-4F89-4EE5-8F25-65E19BD057FD}</author>
    <author>tc={FE10A450-43B9-4A77-9D27-229F1E7F3AF2}</author>
    <author>tc={608341F4-B3DB-427E-977A-68BFC2606D38}</author>
    <author>tc={0AF8C7BF-C66C-493A-9B50-FC1EB9E10F4C}</author>
    <author>tc={8B890487-E97D-4F98-9549-97C9C435077A}</author>
    <author>tc={840DF0D3-CE3A-4358-9A1F-9D2E595F6397}</author>
    <author>tc={521A1847-89F8-42AC-AA30-7D08B30C7989}</author>
    <author>tc={8F3A735B-90EB-4BC9-92E8-3DE49377438D}</author>
    <author>tc={C6FD2702-D2C4-40DC-8E67-F3C7BF76CE71}</author>
    <author>tc={1B9B4564-1B74-4E64-8E29-65153BF961E0}</author>
    <author>tc={0DA76B11-FA5C-4F13-943C-BEE14C3E08D6}</author>
    <author>tc={53493A15-EAB6-4120-B096-72520ED0EC81}</author>
    <author>tc={DA7657D0-163D-47F8-A881-5DC836C2EB2D}</author>
    <author>tc={10CBCD73-4E4D-4742-930F-D734ED89FDDB}</author>
    <author>tc={BBA16249-21FA-43C6-8534-6780043C89E0}</author>
    <author>tc={B8AB5D3A-B5A6-4AE4-B798-D9B1DEBCCD6F}</author>
    <author>tc={38DE9BF6-19AC-4EA6-BCF8-D8BC920E252B}</author>
    <author>tc={063C1661-1AD4-4D3F-B614-7C0005B0F632}</author>
    <author>tc={5846F5D5-40AF-4204-9D55-B1547443DDD4}</author>
    <author>tc={77BA7FDC-564C-42A3-AD71-D260738ADE94}</author>
    <author>tc={3983DCCF-CA5A-4D70-B486-6D9A1FC38B32}</author>
    <author>tc={B04D56CB-982B-44F3-BCA6-407EAEF4088A}</author>
    <author>tc={978CE5FD-D65B-4876-AFB0-ACF3B75E2732}</author>
    <author>tc={E85D5DEF-4A25-400F-BF85-65C2E2D93A9D}</author>
    <author>tc={4A134E9B-6547-45E5-A5F7-80E0667514BA}</author>
    <author>tc={26627D8F-15DC-488D-B034-F44D85E73D7A}</author>
    <author>tc={63B2BA10-BA63-49EE-9929-561F3C3E6932}</author>
    <author>tc={B379FF76-AA4F-49A8-93CD-E1CD79BD5F17}</author>
    <author>tc={3D04151A-EEE2-4D5B-8493-BE95977A4D64}</author>
    <author>tc={9AFB43B6-2362-45AD-80D0-62E02DFE467C}</author>
    <author>tc={5B78544E-22EA-4022-886F-24617BEF34A5}</author>
    <author>tc={15A78C13-8DB5-424A-B0E7-847CCED6460B}</author>
    <author>tc={F960E31C-83A6-4625-92BD-1964DD1C0155}</author>
  </authors>
  <commentList>
    <comment ref="D3" authorId="0" shapeId="0" xr:uid="{402747DF-0A90-4277-8C55-1834F26851A6}">
      <text>
        <t>[Komentārs ar pavedienu]
Jūsu Excel versija ļauj lasīt šo komentāru ar pavedienu, tomēr visi tā labojumi tiks noņemti, ja fails tiks atvērts jaunākā Excel versijā. Papildinformācija: https://go.microsoft.com/fwlink/?linkid=870924
Komentārs:
    https://www.siltumacentrs.lv/apkures-katli-7/apkures-katli-4/384</t>
      </text>
    </comment>
    <comment ref="D4" authorId="1" shapeId="0" xr:uid="{5562D5AD-C586-4EC5-A684-AB7EBDE8F6CB}">
      <text>
        <t>[Komentārs ar pavedienu]
Jūsu Excel versija ļauj lasīt šo komentāru ar pavedienu, tomēr visi tā labojumi tiks noņemti, ja fails tiks atvērts jaunākā Excel versijā. Papildinformācija: https://go.microsoft.com/fwlink/?linkid=870924
Komentārs:
    https://www.siltumacentrs.lv/apkures-katli-7/apkures-katli-4/179</t>
      </text>
    </comment>
    <comment ref="D5" authorId="2" shapeId="0" xr:uid="{96717EEF-10E4-4A53-B88D-089DEBE4AC4A}">
      <text>
        <t>[Komentārs ar pavedienu]
Jūsu Excel versija ļauj lasīt šo komentāru ar pavedienu, tomēr visi tā labojumi tiks noņemti, ja fails tiks atvērts jaunākā Excel versijā. Papildinformācija: https://go.microsoft.com/fwlink/?linkid=870924
Komentārs:
    https://www.siltumacentrs.lv/apkures-katli-7/apkures-katli-4/242</t>
      </text>
    </comment>
    <comment ref="D6" authorId="3" shapeId="0" xr:uid="{55E1B975-7785-4171-9017-CCF26650CFC2}">
      <text>
        <t>[Komentārs ar pavedienu]
Jūsu Excel versija ļauj lasīt šo komentāru ar pavedienu, tomēr visi tā labojumi tiks noņemti, ja fails tiks atvērts jaunākā Excel versijā. Papildinformācija: https://go.microsoft.com/fwlink/?linkid=870924
Komentārs:
    https://www.siltumacentrs.lv/apkures-katli-7/apkures-katli-4/413</t>
      </text>
    </comment>
    <comment ref="D7" authorId="4" shapeId="0" xr:uid="{190C33C2-E286-4885-BDA9-643A9FD52B33}">
      <text>
        <t>[Komentārs ar pavedienu]
Jūsu Excel versija ļauj lasīt šo komentāru ar pavedienu, tomēr visi tā labojumi tiks noņemti, ja fails tiks atvērts jaunākā Excel versijā. Papildinformācija: https://go.microsoft.com/fwlink/?linkid=870924
Komentārs:
    https://www.siltumacentrs.lv/apkures-katli-7/apkures-katli-4/417</t>
      </text>
    </comment>
    <comment ref="D8" authorId="5" shapeId="0" xr:uid="{A36D7B3A-ADCC-4695-9573-ED57F7120100}">
      <text>
        <t>[Komentārs ar pavedienu]
Jūsu Excel versija ļauj lasīt šo komentāru ar pavedienu, tomēr visi tā labojumi tiks noņemti, ja fails tiks atvērts jaunākā Excel versijā. Papildinformācija: https://go.microsoft.com/fwlink/?linkid=870924
Komentārs:
    https://www.siltumacentrs.lv/apkures-katli-7/apkures-katli-4/454</t>
      </text>
    </comment>
    <comment ref="D9" authorId="6" shapeId="0" xr:uid="{00AE1978-059F-4409-A251-4D12087A9C7C}">
      <text>
        <t>[Komentārs ar pavedienu]
Jūsu Excel versija ļauj lasīt šo komentāru ar pavedienu, tomēr visi tā labojumi tiks noņemti, ja fails tiks atvērts jaunākā Excel versijā. Papildinformācija: https://go.microsoft.com/fwlink/?linkid=870924
Komentārs:
    https://www.siltumacentrs.lv/apkures-katli-7/apkures-katli-4/456</t>
      </text>
    </comment>
    <comment ref="D10" authorId="7" shapeId="0" xr:uid="{878B3F84-4F89-4EE5-8F25-65E19BD057FD}">
      <text>
        <t>[Komentārs ar pavedienu]
Jūsu Excel versija ļauj lasīt šo komentāru ar pavedienu, tomēr visi tā labojumi tiks noņemti, ja fails tiks atvērts jaunākā Excel versijā. Papildinformācija: https://go.microsoft.com/fwlink/?linkid=870924
Komentārs:
    https://www.siltumacentrs.lv/apkures-katli-7/apkures-katli-4/181</t>
      </text>
    </comment>
    <comment ref="D11" authorId="8" shapeId="0" xr:uid="{FE10A450-43B9-4A77-9D27-229F1E7F3AF2}">
      <text>
        <t>[Komentārs ar pavedienu]
Jūsu Excel versija ļauj lasīt šo komentāru ar pavedienu, tomēr visi tā labojumi tiks noņemti, ja fails tiks atvērts jaunākā Excel versijā. Papildinformācija: https://go.microsoft.com/fwlink/?linkid=870924
Komentārs:
    https://www.siltumacentrs.lv/apkures-katli-7/apkures-katli-4/414</t>
      </text>
    </comment>
    <comment ref="D12" authorId="9" shapeId="0" xr:uid="{608341F4-B3DB-427E-977A-68BFC2606D38}">
      <text>
        <t>[Komentārs ar pavedienu]
Jūsu Excel versija ļauj lasīt šo komentāru ar pavedienu, tomēr visi tā labojumi tiks noņemti, ja fails tiks atvērts jaunākā Excel versijā. Papildinformācija: https://go.microsoft.com/fwlink/?linkid=870924
Komentārs:
    https://www.siltumacentrs.lv/apkures-katli-7/apkures-katli-4/182</t>
      </text>
    </comment>
    <comment ref="D13" authorId="10" shapeId="0" xr:uid="{0AF8C7BF-C66C-493A-9B50-FC1EB9E10F4C}">
      <text>
        <t>[Komentārs ar pavedienu]
Jūsu Excel versija ļauj lasīt šo komentāru ar pavedienu, tomēr visi tā labojumi tiks noņemti, ja fails tiks atvērts jaunākā Excel versijā. Papildinformācija: https://go.microsoft.com/fwlink/?linkid=870924
Komentārs:
    https://www.siltumacentrs.lv/apkures-katli-7/apkures-katli-4/229</t>
      </text>
    </comment>
    <comment ref="D14" authorId="11" shapeId="0" xr:uid="{8B890487-E97D-4F98-9549-97C9C435077A}">
      <text>
        <t>[Komentārs ar pavedienu]
Jūsu Excel versija ļauj lasīt šo komentāru ar pavedienu, tomēr visi tā labojumi tiks noņemti, ja fails tiks atvērts jaunākā Excel versijā. Papildinformācija: https://go.microsoft.com/fwlink/?linkid=870924
Komentārs:
    https://www.siltumacentrs.lv/apkures-katli-7/apkures-katli-4/387</t>
      </text>
    </comment>
    <comment ref="D15" authorId="12" shapeId="0" xr:uid="{840DF0D3-CE3A-4358-9A1F-9D2E595F6397}">
      <text>
        <t>[Komentārs ar pavedienu]
Jūsu Excel versija ļauj lasīt šo komentāru ar pavedienu, tomēr visi tā labojumi tiks noņemti, ja fails tiks atvērts jaunākā Excel versijā. Papildinformācija: https://go.microsoft.com/fwlink/?linkid=870924
Komentārs:
    https://www.siltumacentrs.lv/apkures-katli-7/apkures-katli-4/386</t>
      </text>
    </comment>
    <comment ref="D16" authorId="13" shapeId="0" xr:uid="{521A1847-89F8-42AC-AA30-7D08B30C7989}">
      <text>
        <t>[Komentārs ar pavedienu]
Jūsu Excel versija ļauj lasīt šo komentāru ar pavedienu, tomēr visi tā labojumi tiks noņemti, ja fails tiks atvērts jaunākā Excel versijā. Papildinformācija: https://go.microsoft.com/fwlink/?linkid=870924
Komentārs:
    https://www.siltumacentrs.lv/apkures-katli-7/apkures-katli-4/457</t>
      </text>
    </comment>
    <comment ref="D17" authorId="14" shapeId="0" xr:uid="{8F3A735B-90EB-4BC9-92E8-3DE49377438D}">
      <text>
        <t>[Komentārs ar pavedienu]
Jūsu Excel versija ļauj lasīt šo komentāru ar pavedienu, tomēr visi tā labojumi tiks noņemti, ja fails tiks atvērts jaunākā Excel versijā. Papildinformācija: https://go.microsoft.com/fwlink/?linkid=870924
Komentārs:
    https://www.siltumacentrs.lv/apkures-katli-7/apkures-katli-4/450</t>
      </text>
    </comment>
    <comment ref="D18" authorId="15" shapeId="0" xr:uid="{C6FD2702-D2C4-40DC-8E67-F3C7BF76CE71}">
      <text>
        <t>[Komentārs ar pavedienu]
Jūsu Excel versija ļauj lasīt šo komentāru ar pavedienu, tomēr visi tā labojumi tiks noņemti, ja fails tiks atvērts jaunākā Excel versijā. Papildinformācija: https://go.microsoft.com/fwlink/?linkid=870924
Komentārs:
    https://www.siltumacentrs.lv/apkures-katli-7/apkures-katli-4/451</t>
      </text>
    </comment>
    <comment ref="D19" authorId="16" shapeId="0" xr:uid="{1B9B4564-1B74-4E64-8E29-65153BF961E0}">
      <text>
        <t>[Komentārs ar pavedienu]
Jūsu Excel versija ļauj lasīt šo komentāru ar pavedienu, tomēr visi tā labojumi tiks noņemti, ja fails tiks atvērts jaunākā Excel versijā. Papildinformācija: https://go.microsoft.com/fwlink/?linkid=870924
Komentārs:
    https://www.siltumacentrs.lv/apkures-katli-7/apkures-katli-4/220</t>
      </text>
    </comment>
    <comment ref="D20" authorId="17" shapeId="0" xr:uid="{0DA76B11-FA5C-4F13-943C-BEE14C3E08D6}">
      <text>
        <t>[Komentārs ar pavedienu]
Jūsu Excel versija ļauj lasīt šo komentāru ar pavedienu, tomēr visi tā labojumi tiks noņemti, ja fails tiks atvērts jaunākā Excel versijā. Papildinformācija: https://go.microsoft.com/fwlink/?linkid=870924
Komentārs:
    https://www.siltumacentrs.lv/apkures-katli-7/apkures-katli-4/452</t>
      </text>
    </comment>
    <comment ref="D21" authorId="18" shapeId="0" xr:uid="{53493A15-EAB6-4120-B096-72520ED0EC81}">
      <text>
        <t>[Komentārs ar pavedienu]
Jūsu Excel versija ļauj lasīt šo komentāru ar pavedienu, tomēr visi tā labojumi tiks noņemti, ja fails tiks atvērts jaunākā Excel versijā. Papildinformācija: https://go.microsoft.com/fwlink/?linkid=870924
Komentārs:
    https://www.siltumacentrs.lv/apkures-katli-7/apkures-katli-4/222</t>
      </text>
    </comment>
    <comment ref="D22" authorId="19" shapeId="0" xr:uid="{DA7657D0-163D-47F8-A881-5DC836C2EB2D}">
      <text>
        <t>[Komentārs ar pavedienu]
Jūsu Excel versija ļauj lasīt šo komentāru ar pavedienu, tomēr visi tā labojumi tiks noņemti, ja fails tiks atvērts jaunākā Excel versijā. Papildinformācija: https://go.microsoft.com/fwlink/?linkid=870924
Komentārs:
    https://www.siltumacentrs.lv/apkures-katli-7/apkures-katli-4/453</t>
      </text>
    </comment>
    <comment ref="D23" authorId="20" shapeId="0" xr:uid="{10CBCD73-4E4D-4742-930F-D734ED89FDDB}">
      <text>
        <t>[Komentārs ar pavedienu]
Jūsu Excel versija ļauj lasīt šo komentāru ar pavedienu, tomēr visi tā labojumi tiks noņemti, ja fails tiks atvērts jaunākā Excel versijā. Papildinformācija: https://go.microsoft.com/fwlink/?linkid=870924
Komentārs:
    https://www.siltumacentrs.lv/apkures-katli-7/apkures-katli-4/416</t>
      </text>
    </comment>
    <comment ref="E24" authorId="21" shapeId="0" xr:uid="{BBA16249-21FA-43C6-8534-6780043C89E0}">
      <text>
        <t>[Komentārs ar pavedienu]
Jūsu Excel versija ļauj lasīt šo komentāru ar pavedienu, tomēr visi tā labojumi tiks noņemti, ja fails tiks atvērts jaunākā Excel versijā. Papildinformācija: https://go.microsoft.com/fwlink/?linkid=870924
Komentārs:
    https://commodus.lv/terauda-malkas-katls-opop-ecomax</t>
      </text>
    </comment>
    <comment ref="E25" authorId="22" shapeId="0" xr:uid="{B8AB5D3A-B5A6-4AE4-B798-D9B1DEBCCD6F}">
      <text>
        <t>[Komentārs ar pavedienu]
Jūsu Excel versija ļauj lasīt šo komentāru ar pavedienu, tomēr visi tā labojumi tiks noņemti, ja fails tiks atvērts jaunākā Excel versijā. Papildinformācija: https://go.microsoft.com/fwlink/?linkid=870924
Komentārs:
    https://commodus.lv/terauda-malkas-katls-opop-ecomax</t>
      </text>
    </comment>
    <comment ref="E26" authorId="23" shapeId="0" xr:uid="{38DE9BF6-19AC-4EA6-BCF8-D8BC920E252B}">
      <text>
        <t>[Komentārs ar pavedienu]
Jūsu Excel versija ļauj lasīt šo komentāru ar pavedienu, tomēr visi tā labojumi tiks noņemti, ja fails tiks atvērts jaunākā Excel versijā. Papildinformācija: https://go.microsoft.com/fwlink/?linkid=870924
Komentārs:
    https://commodus.lv/terauda-malkas-katls-opop-ecomax</t>
      </text>
    </comment>
    <comment ref="E27" authorId="24" shapeId="0" xr:uid="{063C1661-1AD4-4D3F-B614-7C0005B0F632}">
      <text>
        <t>[Komentārs ar pavedienu]
Jūsu Excel versija ļauj lasīt šo komentāru ar pavedienu, tomēr visi tā labojumi tiks noņemti, ja fails tiks atvērts jaunākā Excel versijā. Papildinformācija: https://go.microsoft.com/fwlink/?linkid=870924
Komentārs:
    https://commodus.lv/rojek-apkures-katli</t>
      </text>
    </comment>
    <comment ref="E28" authorId="25" shapeId="0" xr:uid="{5846F5D5-40AF-4204-9D55-B1547443DDD4}">
      <text>
        <t>[Komentārs ar pavedienu]
Jūsu Excel versija ļauj lasīt šo komentāru ar pavedienu, tomēr visi tā labojumi tiks noņemti, ja fails tiks atvērts jaunākā Excel versijā. Papildinformācija: https://go.microsoft.com/fwlink/?linkid=870924
Komentārs:
    https://commodus.lv/rojek-apkures-katli</t>
      </text>
    </comment>
    <comment ref="E29" authorId="26" shapeId="0" xr:uid="{77BA7FDC-564C-42A3-AD71-D260738ADE94}">
      <text>
        <t>[Komentārs ar pavedienu]
Jūsu Excel versija ļauj lasīt šo komentāru ar pavedienu, tomēr visi tā labojumi tiks noņemti, ja fails tiks atvērts jaunākā Excel versijā. Papildinformācija: https://go.microsoft.com/fwlink/?linkid=870924
Komentārs:
    https://commodus.lv/rojek-apkures-katli</t>
      </text>
    </comment>
    <comment ref="E30" authorId="27" shapeId="0" xr:uid="{3983DCCF-CA5A-4D70-B486-6D9A1FC38B32}">
      <text>
        <t>[Komentārs ar pavedienu]
Jūsu Excel versija ļauj lasīt šo komentāru ar pavedienu, tomēr visi tā labojumi tiks noņemti, ja fails tiks atvērts jaunākā Excel versijā. Papildinformācija: https://go.microsoft.com/fwlink/?linkid=870924
Komentārs:
    https://commodus.lv/rojek-apkures-katli</t>
      </text>
    </comment>
    <comment ref="E31" authorId="28" shapeId="0" xr:uid="{B04D56CB-982B-44F3-BCA6-407EAEF4088A}">
      <text>
        <t>[Komentārs ar pavedienu]
Jūsu Excel versija ļauj lasīt šo komentāru ar pavedienu, tomēr visi tā labojumi tiks noņemti, ja fails tiks atvērts jaunākā Excel versijā. Papildinformācija: https://go.microsoft.com/fwlink/?linkid=870924
Komentārs:
    https://commodus.lv/rojek-apkures-katli</t>
      </text>
    </comment>
    <comment ref="E32" authorId="29" shapeId="0" xr:uid="{978CE5FD-D65B-4876-AFB0-ACF3B75E2732}">
      <text>
        <t>[Komentārs ar pavedienu]
Jūsu Excel versija ļauj lasīt šo komentāru ar pavedienu, tomēr visi tā labojumi tiks noņemti, ja fails tiks atvērts jaunākā Excel versijā. Papildinformācija: https://go.microsoft.com/fwlink/?linkid=870924
Komentārs:
    https://www.sbsiltumtehnika.lv/lv/precu-katalogs/centrometal-malkas-apkures-katli</t>
      </text>
    </comment>
    <comment ref="E33" authorId="30" shapeId="0" xr:uid="{E85D5DEF-4A25-400F-BF85-65C2E2D93A9D}">
      <text>
        <t>[Komentārs ar pavedienu]
Jūsu Excel versija ļauj lasīt šo komentāru ar pavedienu, tomēr visi tā labojumi tiks noņemti, ja fails tiks atvērts jaunākā Excel versijā. Papildinformācija: https://go.microsoft.com/fwlink/?linkid=870924
Komentārs:
    https://www.sbsiltumtehnika.lv/lv/precu-katalogs/centrometal-malkas-apkures-katli</t>
      </text>
    </comment>
    <comment ref="E34" authorId="31" shapeId="0" xr:uid="{4A134E9B-6547-45E5-A5F7-80E0667514BA}">
      <text>
        <t>[Komentārs ar pavedienu]
Jūsu Excel versija ļauj lasīt šo komentāru ar pavedienu, tomēr visi tā labojumi tiks noņemti, ja fails tiks atvērts jaunākā Excel versijā. Papildinformācija: https://go.microsoft.com/fwlink/?linkid=870924
Komentārs:
    https://www.sbsiltumtehnika.lv/lv/precu-katalogs/centrometal-malkas-apkures-katli</t>
      </text>
    </comment>
    <comment ref="E35" authorId="32" shapeId="0" xr:uid="{26627D8F-15DC-488D-B034-F44D85E73D7A}">
      <text>
        <t>[Komentārs ar pavedienu]
Jūsu Excel versija ļauj lasīt šo komentāru ar pavedienu, tomēr visi tā labojumi tiks noņemti, ja fails tiks atvērts jaunākā Excel versijā. Papildinformācija: https://go.microsoft.com/fwlink/?linkid=870924
Komentārs:
    https://www.sbsiltumtehnika.lv/lv/precu-katalogs/centrometal-malkas-apkures-katli</t>
      </text>
    </comment>
    <comment ref="E36" authorId="33" shapeId="0" xr:uid="{63B2BA10-BA63-49EE-9929-561F3C3E6932}">
      <text>
        <t>[Komentārs ar pavedienu]
Jūsu Excel versija ļauj lasīt šo komentāru ar pavedienu, tomēr visi tā labojumi tiks noņemti, ja fails tiks atvērts jaunākā Excel versijā. Papildinformācija: https://go.microsoft.com/fwlink/?linkid=870924
Komentārs:
    https://www.sbsiltumtehnika.lv/lv/precu-katalogs/centrometal-malkas-apkures-katli</t>
      </text>
    </comment>
    <comment ref="F37" authorId="34" shapeId="0" xr:uid="{B379FF76-AA4F-49A8-93CD-E1CD79BD5F17}">
      <text>
        <t>[Komentārs ar pavedienu]
Jūsu Excel versija ļauj lasīt šo komentāru ar pavedienu, tomēr visi tā labojumi tiks noņemti, ja fails tiks atvērts jaunākā Excel versijā. Papildinformācija: https://go.microsoft.com/fwlink/?linkid=870924
Komentārs:
    https://www.apkureskrasnis.lv/katalogs/params/category/174731/</t>
      </text>
    </comment>
    <comment ref="F38" authorId="35" shapeId="0" xr:uid="{3D04151A-EEE2-4D5B-8493-BE95977A4D64}">
      <text>
        <t>[Komentārs ar pavedienu]
Jūsu Excel versija ļauj lasīt šo komentāru ar pavedienu, tomēr visi tā labojumi tiks noņemti, ja fails tiks atvērts jaunākā Excel versijā. Papildinformācija: https://go.microsoft.com/fwlink/?linkid=870924
Komentārs:
    https://www.apkureskrasnis.lv/katalogs/params/category/174731/</t>
      </text>
    </comment>
    <comment ref="F39" authorId="36" shapeId="0" xr:uid="{9AFB43B6-2362-45AD-80D0-62E02DFE467C}">
      <text>
        <t>[Komentārs ar pavedienu]
Jūsu Excel versija ļauj lasīt šo komentāru ar pavedienu, tomēr visi tā labojumi tiks noņemti, ja fails tiks atvērts jaunākā Excel versijā. Papildinformācija: https://go.microsoft.com/fwlink/?linkid=870924
Komentārs:
    https://www.apkureskrasnis.lv/katalogs/params/category/174731/</t>
      </text>
    </comment>
    <comment ref="G40" authorId="37" shapeId="0" xr:uid="{5B78544E-22EA-4022-886F-24617BEF34A5}">
      <text>
        <t>[Komentārs ar pavedienu]
Jūsu Excel versija ļauj lasīt šo komentāru ar pavedienu, tomēr visi tā labojumi tiks noņemti, ja fails tiks atvērts jaunākā Excel versijā. Papildinformācija: https://go.microsoft.com/fwlink/?linkid=870924
Komentārs:
    https://www.sbshop.lv/katalogs/apkures-katli/sokol-apkures-katli/sokol-malkas-apkures-katli/</t>
      </text>
    </comment>
    <comment ref="G41" authorId="38" shapeId="0" xr:uid="{15A78C13-8DB5-424A-B0E7-847CCED6460B}">
      <text>
        <t>[Komentārs ar pavedienu]
Jūsu Excel versija ļauj lasīt šo komentāru ar pavedienu, tomēr visi tā labojumi tiks noņemti, ja fails tiks atvērts jaunākā Excel versijā. Papildinformācija: https://go.microsoft.com/fwlink/?linkid=870924
Komentārs:
    https://www.sbshop.lv/katalogs/apkures-katli/sokol-apkures-katli/sokol-malkas-apkures-katli/</t>
      </text>
    </comment>
    <comment ref="G42" authorId="39" shapeId="0" xr:uid="{F960E31C-83A6-4625-92BD-1964DD1C0155}">
      <text>
        <t>[Komentārs ar pavedienu]
Jūsu Excel versija ļauj lasīt šo komentāru ar pavedienu, tomēr visi tā labojumi tiks noņemti, ja fails tiks atvērts jaunākā Excel versijā. Papildinformācija: https://go.microsoft.com/fwlink/?linkid=870924
Komentārs:
    https://www.sbshop.lv/katalogs/apkures-katli/sokol-apkures-katli/sokol-malkas-apkures-katli/</t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tc={DD2E8EF4-9602-4722-BD9E-B01C5A5B1F04}</author>
    <author>tc={F78CF45B-5623-456C-B530-0E585B564723}</author>
    <author>Jānis Ikaunieks</author>
    <author>tc={0AE16C99-7799-44A2-B47B-98C492E30874}</author>
    <author>tc={46544531-3C4F-4C02-8DF3-4F4FD098AA73}</author>
  </authors>
  <commentList>
    <comment ref="A22" authorId="0" shapeId="0" xr:uid="{DD2E8EF4-9602-4722-BD9E-B01C5A5B1F04}">
      <text>
        <t>[Komentārs ar pavedienu]
Jūsu Excel versija ļauj lasīt šo komentāru ar pavedienu, tomēr visi tā labojumi tiks noņemti, ja fails tiks atvērts jaunākā Excel versijā. Papildinformācija: https://go.microsoft.com/fwlink/?linkid=870924
Komentārs:
    Sausā sanāk - 1 m3 = 1.8 ber.m3 (1.7857)</t>
      </text>
    </comment>
    <comment ref="A24" authorId="1" shapeId="0" xr:uid="{F78CF45B-5623-456C-B530-0E585B564723}">
      <text>
        <t>[Komentārs ar pavedienu]
Jūsu Excel versija ļauj lasīt šo komentāru ar pavedienu, tomēr visi tā labojumi tiks noņemti, ja fails tiks atvērts jaunākā Excel versijā. Papildinformācija: https://go.microsoft.com/fwlink/?linkid=870924
Komentārs:
    sausa, gaisā žāvēta, vidēji pieņemta</t>
      </text>
    </comment>
    <comment ref="C64" authorId="2" shapeId="0" xr:uid="{1AA86782-0C69-4D67-BFB1-465FC5124F44}">
      <text>
        <r>
          <rPr>
            <b/>
            <sz val="9"/>
            <color indexed="81"/>
            <rFont val="Tahoma"/>
            <family val="2"/>
            <charset val="186"/>
          </rPr>
          <t>Jānis Ikaunieks:</t>
        </r>
        <r>
          <rPr>
            <sz val="9"/>
            <color indexed="81"/>
            <rFont val="Tahoma"/>
            <family val="2"/>
            <charset val="186"/>
          </rPr>
          <t xml:space="preserve">
https://www.varam.gov.lv/lv/media/24875/download</t>
        </r>
      </text>
    </comment>
    <comment ref="K64" authorId="2" shapeId="0" xr:uid="{DBD53B83-E277-41B1-BE13-42F8C61FC237}">
      <text>
        <r>
          <rPr>
            <b/>
            <sz val="9"/>
            <color indexed="81"/>
            <rFont val="Tahoma"/>
            <family val="2"/>
            <charset val="186"/>
          </rPr>
          <t>Jānis Ikaunieks:</t>
        </r>
        <r>
          <rPr>
            <sz val="9"/>
            <color indexed="81"/>
            <rFont val="Tahoma"/>
            <family val="2"/>
            <charset val="186"/>
          </rPr>
          <t xml:space="preserve">
https://www.varam.gov.lv/lv/media/24875/download</t>
        </r>
      </text>
    </comment>
    <comment ref="C77" authorId="2" shapeId="0" xr:uid="{2E6A50AB-8A96-4A60-AC27-C0738B74B216}">
      <text>
        <r>
          <rPr>
            <b/>
            <sz val="9"/>
            <color indexed="81"/>
            <rFont val="Tahoma"/>
            <family val="2"/>
            <charset val="186"/>
          </rPr>
          <t>Jānis Ikaunieks:</t>
        </r>
        <r>
          <rPr>
            <sz val="9"/>
            <color indexed="81"/>
            <rFont val="Tahoma"/>
            <family val="2"/>
            <charset val="186"/>
          </rPr>
          <t xml:space="preserve">
https://www.varam.gov.lv/lv/media/24875/download</t>
        </r>
      </text>
    </comment>
    <comment ref="K77" authorId="2" shapeId="0" xr:uid="{FD2F389F-F95B-4CB7-ACAF-6C33333AEAB5}">
      <text>
        <r>
          <rPr>
            <b/>
            <sz val="9"/>
            <color indexed="81"/>
            <rFont val="Tahoma"/>
            <family val="2"/>
            <charset val="186"/>
          </rPr>
          <t>Jānis Ikaunieks:</t>
        </r>
        <r>
          <rPr>
            <sz val="9"/>
            <color indexed="81"/>
            <rFont val="Tahoma"/>
            <family val="2"/>
            <charset val="186"/>
          </rPr>
          <t xml:space="preserve">
https://www.varam.gov.lv/lv/media/24875/download</t>
        </r>
      </text>
    </comment>
    <comment ref="F88" authorId="3" shapeId="0" xr:uid="{0AE16C99-7799-44A2-B47B-98C492E30874}">
      <text>
        <t>[Komentārs ar pavedienu]
Jūsu Excel versija ļauj lasīt šo komentāru ar pavedienu, tomēr visi tā labojumi tiks noņemti, ja fails tiks atvērts jaunākā Excel versijā. Papildinformācija: https://go.microsoft.com/fwlink/?linkid=870924
Komentārs:
    http://www.ergolukss.lv/gazes-apkures-katli/kondensacijas-gazes-katli/</t>
      </text>
    </comment>
    <comment ref="G92" authorId="4" shapeId="0" xr:uid="{46544531-3C4F-4C02-8DF3-4F4FD098AA73}">
      <text>
        <t>[Komentārs ar pavedienu]
Jūsu Excel versija ļauj lasīt šo komentāru ar pavedienu, tomēr visi tā labojumi tiks noņemti, ja fails tiks atvērts jaunākā Excel versijā. Papildinformācija: https://go.microsoft.com/fwlink/?linkid=870924
Komentārs:
    http://www.ergolukss.lv/gazes-apkures-katli/kondensacijas-gazes-katli/</t>
      </text>
    </comment>
  </commentList>
</comments>
</file>

<file path=xl/sharedStrings.xml><?xml version="1.0" encoding="utf-8"?>
<sst xmlns="http://schemas.openxmlformats.org/spreadsheetml/2006/main" count="476" uniqueCount="339">
  <si>
    <t>Ēkas adrese:</t>
  </si>
  <si>
    <t>Ēkas lietošanas veids:</t>
  </si>
  <si>
    <t>Siltumenerģijas izmantošanas mērķis:</t>
  </si>
  <si>
    <t>Esošais siltumapgādes veids:</t>
  </si>
  <si>
    <t>Siltumapgādes veids:</t>
  </si>
  <si>
    <t>Siltumenerģiju ražojošas iekārtas veids:</t>
  </si>
  <si>
    <t>Energoresursa (kurināmā) veids:</t>
  </si>
  <si>
    <t>Esošās siltumenerģiju ražojošas iekārtas veids:</t>
  </si>
  <si>
    <t>malka</t>
  </si>
  <si>
    <t>EUR/MWh</t>
  </si>
  <si>
    <t>Izvērtētie salīdzināmie tehnoloģiskie risinājumi</t>
  </si>
  <si>
    <t>Uzstādāmā siltuma jauda, kW:</t>
  </si>
  <si>
    <t>Kurināmā padeves veids:</t>
  </si>
  <si>
    <t>krāsns</t>
  </si>
  <si>
    <t>AS Rīgas Siltums</t>
  </si>
  <si>
    <t>Ekonomiskā izdevīguma noteikšana</t>
  </si>
  <si>
    <t>IEVADDATI</t>
  </si>
  <si>
    <t>Kapitālieguldījumi, kopā:</t>
  </si>
  <si>
    <t>Tehniskās dokumentācijas izstrāde, projektēšana, proj. vadība, u.tml., EUR</t>
  </si>
  <si>
    <t>Iekšējās siltumapgādes sistēmas ierīkošanas vai pārbūves izmaksas (ja attiecināms), EUR</t>
  </si>
  <si>
    <t>Iekārtas kalpošanas laiks/ dzīves cikls</t>
  </si>
  <si>
    <t>Energoresursu izmaksas, EUR/gadā</t>
  </si>
  <si>
    <r>
      <t>Pastāvīgās izmaksas FC</t>
    </r>
    <r>
      <rPr>
        <b/>
        <vertAlign val="subscript"/>
        <sz val="10"/>
        <color theme="1"/>
        <rFont val="Calibri"/>
        <family val="2"/>
        <charset val="186"/>
        <scheme val="minor"/>
      </rPr>
      <t>R</t>
    </r>
    <r>
      <rPr>
        <b/>
        <sz val="10"/>
        <color theme="1"/>
        <rFont val="Calibri"/>
        <family val="2"/>
        <charset val="186"/>
        <scheme val="minor"/>
      </rPr>
      <t xml:space="preserve"> kopā, EUR/gadā:</t>
    </r>
  </si>
  <si>
    <t>Izmaksas kopā, EUR/gadā</t>
  </si>
  <si>
    <t>Apkure</t>
  </si>
  <si>
    <t>Karstais ūdens (KŪ)</t>
  </si>
  <si>
    <t>Apkure + KŪ</t>
  </si>
  <si>
    <t>Tehnoloģiskie procesi (Teh)</t>
  </si>
  <si>
    <t>Apkure + Teh</t>
  </si>
  <si>
    <t>KŪ + Teh</t>
  </si>
  <si>
    <t>Apkure + KŪ + Teh</t>
  </si>
  <si>
    <t>nav</t>
  </si>
  <si>
    <t>individuālā</t>
  </si>
  <si>
    <t>lokāla</t>
  </si>
  <si>
    <t>centralizēta</t>
  </si>
  <si>
    <t>ir</t>
  </si>
  <si>
    <t>jā</t>
  </si>
  <si>
    <t>nē</t>
  </si>
  <si>
    <t>nav attiecināms</t>
  </si>
  <si>
    <t>manuāla</t>
  </si>
  <si>
    <t>automatizēta</t>
  </si>
  <si>
    <t>Parametri/ Risinājuma veids</t>
  </si>
  <si>
    <t>kWh/kg</t>
  </si>
  <si>
    <t>Siltumspēja malkai, atkarībā no W:</t>
  </si>
  <si>
    <t>vidēji</t>
  </si>
  <si>
    <t>liepa</t>
  </si>
  <si>
    <t>apse</t>
  </si>
  <si>
    <t>alksnis</t>
  </si>
  <si>
    <t>priede</t>
  </si>
  <si>
    <t>elge</t>
  </si>
  <si>
    <t>bērzs</t>
  </si>
  <si>
    <t>kg/m3</t>
  </si>
  <si>
    <t>Blīvums (standarta mitrumam):</t>
  </si>
  <si>
    <t>jaukta/ vidēji</t>
  </si>
  <si>
    <t>egle</t>
  </si>
  <si>
    <t>osis</t>
  </si>
  <si>
    <t>max</t>
  </si>
  <si>
    <t>min</t>
  </si>
  <si>
    <t>kWh/m3</t>
  </si>
  <si>
    <t>MJ/m3 (cieš.)</t>
  </si>
  <si>
    <t>MWh/m3 (cieš.)</t>
  </si>
  <si>
    <t>MWh/ber.m3</t>
  </si>
  <si>
    <t>(sausai, ~20%)</t>
  </si>
  <si>
    <t>MWh/m3</t>
  </si>
  <si>
    <t>MJ/m3</t>
  </si>
  <si>
    <t xml:space="preserve">LPS </t>
  </si>
  <si>
    <t>Siltumspēja malkai:</t>
  </si>
  <si>
    <t>dpva, teh.tabulas</t>
  </si>
  <si>
    <t>kcal/kg</t>
  </si>
  <si>
    <t>4600 kcal/kg</t>
  </si>
  <si>
    <t>4500 kcal/kg</t>
  </si>
  <si>
    <t>5000 kcal/kg</t>
  </si>
  <si>
    <t>4700 kcal/kg</t>
  </si>
  <si>
    <t>5.09 kWh/kg</t>
  </si>
  <si>
    <t>Siltumspēja koksnes briketēm:</t>
  </si>
  <si>
    <t>Latgranula</t>
  </si>
  <si>
    <t>SIA Zusa</t>
  </si>
  <si>
    <t>SIA TavsSiltums</t>
  </si>
  <si>
    <t>Sangla</t>
  </si>
  <si>
    <t>Olaines briketes</t>
  </si>
  <si>
    <t>&gt; 4.6; 4.9 - 5.3 kWh/kg</t>
  </si>
  <si>
    <t>5 MWh/t</t>
  </si>
  <si>
    <t>16.5 &lt; Q &lt; 19 MJ/kg</t>
  </si>
  <si>
    <t>&gt; 4.8 MWh/t</t>
  </si>
  <si>
    <t>Siltumspēja koksnes granulām:</t>
  </si>
  <si>
    <t>Kurzemes granulas</t>
  </si>
  <si>
    <t>Staļi</t>
  </si>
  <si>
    <t>Grandeg</t>
  </si>
  <si>
    <t>Enefit</t>
  </si>
  <si>
    <t>1 palete = 1.8 steri = 2.77 ber.m3</t>
  </si>
  <si>
    <t>Ražotāja sniegtā informācija:</t>
  </si>
  <si>
    <t>1 m3 (W = 20%) = 0.5 t</t>
  </si>
  <si>
    <t>1 m3 (W = 40%) = 0.625 - 0.75 t</t>
  </si>
  <si>
    <t>1 m3 malkas = 2.5 ber. m3 = 1.54 steri</t>
  </si>
  <si>
    <t xml:space="preserve">1 ber.m3 = 280 kg </t>
  </si>
  <si>
    <t>1 sters = 0.65 m3 (ciešmetri) ~0.7</t>
  </si>
  <si>
    <t>MK Nr. 812, 32. Pielikuma norādījumi koksnei:</t>
  </si>
  <si>
    <t>0.8 t/m3</t>
  </si>
  <si>
    <t>cieš. m3 =</t>
  </si>
  <si>
    <t>Cenas pārrēķins uz EUR/t</t>
  </si>
  <si>
    <t>cena biržā attiecīgā mērv.</t>
  </si>
  <si>
    <t>Siltumspēja</t>
  </si>
  <si>
    <t>MJ/kg</t>
  </si>
  <si>
    <t>MWh/t</t>
  </si>
  <si>
    <r>
      <rPr>
        <b/>
        <sz val="11"/>
        <color theme="1"/>
        <rFont val="Calibri"/>
        <family val="2"/>
        <charset val="186"/>
        <scheme val="minor"/>
      </rPr>
      <t>Šķeldas</t>
    </r>
    <r>
      <rPr>
        <sz val="11"/>
        <color theme="1"/>
        <rFont val="Calibri"/>
        <family val="2"/>
        <charset val="186"/>
        <scheme val="minor"/>
      </rPr>
      <t xml:space="preserve"> pārrēķins:</t>
    </r>
  </si>
  <si>
    <t>Centralizētā siltumapgāde</t>
  </si>
  <si>
    <t>Latvijas Propāna gāze</t>
  </si>
  <si>
    <t>Sašķidrinātā naftas gāze</t>
  </si>
  <si>
    <t>SIA Elenger</t>
  </si>
  <si>
    <t>AS Latvijas Gāze</t>
  </si>
  <si>
    <t>AS Latvenergo</t>
  </si>
  <si>
    <t>Dabasgāze</t>
  </si>
  <si>
    <t>Elektroenerģija</t>
  </si>
  <si>
    <t>LATGRANULA SIA</t>
  </si>
  <si>
    <t>PRO WOOD SIA</t>
  </si>
  <si>
    <t>Latvijas Finieris AS</t>
  </si>
  <si>
    <t>Wood Conception SIA</t>
  </si>
  <si>
    <t>DRV Impex SIA (Drova.lv)</t>
  </si>
  <si>
    <t>LVM</t>
  </si>
  <si>
    <t>https://www.baltpool.eu/lv/majas-lapa/</t>
  </si>
  <si>
    <t>KG (Kurzemes granulas)</t>
  </si>
  <si>
    <t>Koksnes granulas</t>
  </si>
  <si>
    <t>Šķelda</t>
  </si>
  <si>
    <t>Cenu avots 5</t>
  </si>
  <si>
    <t>Cenu avots 4</t>
  </si>
  <si>
    <t>Cenu avots 3</t>
  </si>
  <si>
    <t>Cenu avots 2</t>
  </si>
  <si>
    <t>Cenu avots 1</t>
  </si>
  <si>
    <t>Energoresursa veids</t>
  </si>
  <si>
    <t>VIDĒJI:</t>
  </si>
  <si>
    <t>Rezerves kurināmais</t>
  </si>
  <si>
    <t>Esošais</t>
  </si>
  <si>
    <t>Granulas</t>
  </si>
  <si>
    <t>Malka</t>
  </si>
  <si>
    <t>Briketes</t>
  </si>
  <si>
    <t>Siltumsūknis gaiss-ūdens</t>
  </si>
  <si>
    <t>Siltumsūknis</t>
  </si>
  <si>
    <t>Siltumsūknis zeme-ūdens</t>
  </si>
  <si>
    <t>CSS</t>
  </si>
  <si>
    <t>Cietais kurināmais</t>
  </si>
  <si>
    <t>Gāzveida</t>
  </si>
  <si>
    <t>Lietderības koeficients vai transformācijas koeficients</t>
  </si>
  <si>
    <t>Šobrīd izmantotais kurināmā veids:</t>
  </si>
  <si>
    <t>katls</t>
  </si>
  <si>
    <t>siltumsūknis</t>
  </si>
  <si>
    <t>elektriskais sildītājs</t>
  </si>
  <si>
    <t>cits</t>
  </si>
  <si>
    <t>izvēlēties</t>
  </si>
  <si>
    <t>ievadīt</t>
  </si>
  <si>
    <t>Datums</t>
  </si>
  <si>
    <t>Malkastirgus.lv</t>
  </si>
  <si>
    <t>https://e-malka.lv/</t>
  </si>
  <si>
    <t>Depo</t>
  </si>
  <si>
    <t>EUR/kWh ar PVN</t>
  </si>
  <si>
    <t>1f 25A</t>
  </si>
  <si>
    <t>1f 32A</t>
  </si>
  <si>
    <t>3f 16A</t>
  </si>
  <si>
    <t>3f 20A</t>
  </si>
  <si>
    <t>3f25A</t>
  </si>
  <si>
    <t>EUR/mēnesī ar PVN</t>
  </si>
  <si>
    <t>*eur/mēnesī. Ņemts vērā aprēķinā</t>
  </si>
  <si>
    <t>aizpildiet dzeltenās šūnas</t>
  </si>
  <si>
    <t>IAA strāvas lielums</t>
  </si>
  <si>
    <t>SIA"GāzeLV"</t>
  </si>
  <si>
    <t>EUR/MWh ar PVN</t>
  </si>
  <si>
    <t>EUR/MWh ar PVN 12%</t>
  </si>
  <si>
    <t>Dabasgāzes cena, EUR/kWh ar PVN</t>
  </si>
  <si>
    <t>Pārvade, EUR/kWh ar PVN</t>
  </si>
  <si>
    <t>Maksa par dabasgāzes sadalīšanu, EUR/kWh ar PVN</t>
  </si>
  <si>
    <t>Maksa par atļauto slodzi, EUR/kWh ar PVN</t>
  </si>
  <si>
    <t>EUR/tonnu ar PVN</t>
  </si>
  <si>
    <t>LPG Siltumspēja:</t>
  </si>
  <si>
    <t>Koksnes briketes</t>
  </si>
  <si>
    <t>Zona, kurā atrodas ēka</t>
  </si>
  <si>
    <t>I</t>
  </si>
  <si>
    <t>II</t>
  </si>
  <si>
    <t>III</t>
  </si>
  <si>
    <t>zeme - ūdens</t>
  </si>
  <si>
    <t>Izmaksas, EUR</t>
  </si>
  <si>
    <t>EUR/kW</t>
  </si>
  <si>
    <t>uzstādīšana</t>
  </si>
  <si>
    <t>https://www.varam.gov.lv/lv/media/24875/download</t>
  </si>
  <si>
    <t>gaiss - gaiss</t>
  </si>
  <si>
    <t>jauda</t>
  </si>
  <si>
    <t>gaiss - ūdens</t>
  </si>
  <si>
    <t>Investīcijas, EUR</t>
  </si>
  <si>
    <t>kW</t>
  </si>
  <si>
    <t>CSS pieslēgums</t>
  </si>
  <si>
    <t>lietderība</t>
  </si>
  <si>
    <t>Uzstādišana, EUR</t>
  </si>
  <si>
    <t xml:space="preserve">Jaunu sildķermeņu un sadales sistēmas uzstādīšana </t>
  </si>
  <si>
    <t>EUR</t>
  </si>
  <si>
    <t>gaiss-ūdens</t>
  </si>
  <si>
    <t>investīcijas</t>
  </si>
  <si>
    <t>zeme- ūdens</t>
  </si>
  <si>
    <t>Kādi risinājumi atļauti zonā?</t>
  </si>
  <si>
    <t>Priekš izvēlnes</t>
  </si>
  <si>
    <r>
      <t>Q</t>
    </r>
    <r>
      <rPr>
        <vertAlign val="subscript"/>
        <sz val="10"/>
        <color theme="1"/>
        <rFont val="Calibri"/>
        <family val="2"/>
        <charset val="186"/>
        <scheme val="minor"/>
      </rPr>
      <t>prod</t>
    </r>
    <r>
      <rPr>
        <sz val="10"/>
        <color theme="1"/>
        <rFont val="Calibri"/>
        <family val="2"/>
        <charset val="186"/>
        <scheme val="minor"/>
      </rPr>
      <t xml:space="preserve"> - Saražotais siltumenerģijas apjoms, MWh </t>
    </r>
  </si>
  <si>
    <r>
      <t>T</t>
    </r>
    <r>
      <rPr>
        <b/>
        <vertAlign val="subscript"/>
        <sz val="10"/>
        <color theme="1"/>
        <rFont val="Calibri"/>
        <family val="2"/>
        <charset val="186"/>
        <scheme val="minor"/>
      </rPr>
      <t>prod</t>
    </r>
    <r>
      <rPr>
        <b/>
        <sz val="10"/>
        <color theme="1"/>
        <rFont val="Calibri"/>
        <family val="2"/>
        <charset val="186"/>
        <scheme val="minor"/>
      </rPr>
      <t xml:space="preserve"> - Ražošanas tarifs, EUR/MWh</t>
    </r>
  </si>
  <si>
    <r>
      <t>C</t>
    </r>
    <r>
      <rPr>
        <vertAlign val="subscript"/>
        <sz val="10"/>
        <color theme="1"/>
        <rFont val="Calibri"/>
        <family val="2"/>
        <charset val="186"/>
        <scheme val="minor"/>
      </rPr>
      <t xml:space="preserve">fuel </t>
    </r>
    <r>
      <rPr>
        <sz val="10"/>
        <color theme="1"/>
        <rFont val="Calibri"/>
        <family val="2"/>
        <charset val="186"/>
        <scheme val="minor"/>
      </rPr>
      <t>– kurināmā cena, EUR/MWh</t>
    </r>
  </si>
  <si>
    <r>
      <t>C</t>
    </r>
    <r>
      <rPr>
        <vertAlign val="subscript"/>
        <sz val="10"/>
        <color theme="1"/>
        <rFont val="Calibri"/>
        <family val="2"/>
        <charset val="186"/>
        <scheme val="minor"/>
      </rPr>
      <t>othR</t>
    </r>
    <r>
      <rPr>
        <sz val="10"/>
        <color theme="1"/>
        <rFont val="Calibri"/>
        <family val="2"/>
        <charset val="186"/>
        <scheme val="minor"/>
      </rPr>
      <t xml:space="preserve"> – citas siltumenerģijas ražošanas izmaksas, EUR/MWh</t>
    </r>
  </si>
  <si>
    <r>
      <t>C</t>
    </r>
    <r>
      <rPr>
        <vertAlign val="subscript"/>
        <sz val="10"/>
        <color theme="1"/>
        <rFont val="Calibri"/>
        <family val="2"/>
        <charset val="186"/>
        <scheme val="minor"/>
      </rPr>
      <t>eq</t>
    </r>
    <r>
      <rPr>
        <sz val="10"/>
        <color theme="1"/>
        <rFont val="Calibri"/>
        <family val="2"/>
        <charset val="186"/>
        <scheme val="minor"/>
      </rPr>
      <t xml:space="preserve"> – tehnoloģiju izmaksas, EUR/MW;</t>
    </r>
  </si>
  <si>
    <t>iekārta</t>
  </si>
  <si>
    <t>Jauda, kW</t>
  </si>
  <si>
    <t>ALPHA INNOTEC ALIRA PRO LW 300A-LUX 2.0</t>
  </si>
  <si>
    <t>ALPHA INNOTEC ALIRA PRO LW 251A-LUX 2.0</t>
  </si>
  <si>
    <t>ALPHA INNOTEC ALIRA LW 180A-LUX 2.0</t>
  </si>
  <si>
    <t>ALPHA INNOTEC ALIRA LW 140A-LUX 2.0</t>
  </si>
  <si>
    <t>MITSUBISHI ECODAN POWER INVERTER 8 KW AR 300 L KŪ TVERTNI</t>
  </si>
  <si>
    <t>MITSUBISHI ECODAN POWER INVERTER 10 KW AR 200 L KŪ TVERTNI</t>
  </si>
  <si>
    <t>ALPHA INNOTEC ALIRA LWD 7 KW AR 180 L KŪ TVERTNI</t>
  </si>
  <si>
    <t>VIESSMANN VITOCAL 222-S GAISS-ŪDENS SILTUMSŪKNIS "VISS-VIENĀ" AR BOILERI, R410A, TRĪSFĀZU, 10KW</t>
  </si>
  <si>
    <t>DAIKIN gaiss-ūdens siltumsūknis Altherma EHVX08S18E9W / ERGA06EVH 6,0kW 180L tvertne R32</t>
  </si>
  <si>
    <t>DAIKIN gaiss-ūdens siltumsūknis Altherma EHVX08S18E6V / ERGA08EVH 8,0kW 180L tvertne R32</t>
  </si>
  <si>
    <t>DAIKIN gaiss-ūdens siltumsūknis Altherma EBVX11S18D9W / ERLA11DW1 10,6kW 180L tvertne R32</t>
  </si>
  <si>
    <t xml:space="preserve">
DAIKIN gaiss-ūdens siltumsūknis Altherma EBVX16S23D6V / ERLA16DV3 16kW 230L tvertne R32</t>
  </si>
  <si>
    <t>VIESSMANN VITOCAL 111-S GAISS-ŪDENS SILTUMSŪKNIS "VISS-VIENĀ" AR BOILERI, R32, 6KW</t>
  </si>
  <si>
    <t>PANASONIC AQUAREA GAISS-ŪDENS SILTUMSŪKNIS "VISS-VIENĀ" AR BOILERI, TRĪSFĀZU, 16KW</t>
  </si>
  <si>
    <t>Samsung siltumsūknis ar 5 gadu garantiju , magnētiskais filtrs, akumulācijas tvertne, ārējā bloka stiprinājums, WiFI modulis un siltumsūkņa vadības panelis.</t>
  </si>
  <si>
    <t>Mitsubishi Hydrolution HMA100V + FDCW71VNX iebūvēts KŪ tvertne</t>
  </si>
  <si>
    <t>Mitsubishi Hydrolution HMA100V + FDCW100VNX iebūvēts KŪ tvertne</t>
  </si>
  <si>
    <t>Mitsubishi Hydrolution HMA100V + FDCW140VNX+MT500  ar tvertni</t>
  </si>
  <si>
    <t>MIDEA M-THERMAL GAISS-ŪDENS SILTUMSŪKNIS AR IEBŪVĒTO BOILERI</t>
  </si>
  <si>
    <t>Cenu avots 6</t>
  </si>
  <si>
    <t>Lietderība, %</t>
  </si>
  <si>
    <t>Termo Tech Margo</t>
  </si>
  <si>
    <t>Termo Tech Fawory</t>
  </si>
  <si>
    <t>Termo Tech Klasik 10</t>
  </si>
  <si>
    <t>Termo Tech STALMARK</t>
  </si>
  <si>
    <t>Taiga 12</t>
  </si>
  <si>
    <t>Termo Tech Resika 8</t>
  </si>
  <si>
    <t>Termo Tech Resika 12</t>
  </si>
  <si>
    <t>Eko line 15</t>
  </si>
  <si>
    <t>Termo Tech Resika 16</t>
  </si>
  <si>
    <t>Termo Tech STALMARK 12</t>
  </si>
  <si>
    <t>Eko line 20</t>
  </si>
  <si>
    <t>Termo Tech STALMARK 15</t>
  </si>
  <si>
    <t>Eko line 25</t>
  </si>
  <si>
    <t>Termo Tech STALMARK 20</t>
  </si>
  <si>
    <t>Termo Tech STALMARK 25</t>
  </si>
  <si>
    <t>Termo Tech STALMARK 30</t>
  </si>
  <si>
    <t>Termo Tech Madera 20</t>
  </si>
  <si>
    <t>Termo Tech Yano 30</t>
  </si>
  <si>
    <t>Termo Tech STALMARK 40</t>
  </si>
  <si>
    <t>KWS OPTI 25</t>
  </si>
  <si>
    <t>eur/kW</t>
  </si>
  <si>
    <t>Uzstādīšanas izmaksas, EUR</t>
  </si>
  <si>
    <t>uzstādīšana, EUR/kW</t>
  </si>
  <si>
    <t>Investīcijas, EUR/kW</t>
  </si>
  <si>
    <t>centralizēta siltumapgāde vai bezemisiju siltumenerģijas ražošanas tehnoloģiju izmantošana (elektroenerģija, siltumsūkņi, saules kolektori u. c.);</t>
  </si>
  <si>
    <t>bezemisiju siltumenerģijas ražošanas tehnoloģiju izmanantošana</t>
  </si>
  <si>
    <t>ēku/telpu apsildīšanai paredzētas apkures iekārtas (gāzveida kurināmais) uzstādīšana;</t>
  </si>
  <si>
    <t>bezemisiju siltumenerģijas ražošanas tehnoloģiju izmantošana vai centralizēta siltumapgāde</t>
  </si>
  <si>
    <t>ēku/telpu apsildīšanai izmantota cietā biomasa</t>
  </si>
  <si>
    <t>ēku/telpu apsildīšanai izmantots gāzveida kurināmais</t>
  </si>
  <si>
    <t>1. prioritāte</t>
  </si>
  <si>
    <t>2.prioritāte</t>
  </si>
  <si>
    <t>3.prioritāte</t>
  </si>
  <si>
    <t>Saražotais siltumenerģijas apjoms, MWh</t>
  </si>
  <si>
    <t>iespējams koriģēt</t>
  </si>
  <si>
    <t>Siltuma avota iekārtu iegādes izmaksas, EUR</t>
  </si>
  <si>
    <r>
      <t>C</t>
    </r>
    <r>
      <rPr>
        <vertAlign val="subscript"/>
        <sz val="10"/>
        <color theme="1"/>
        <rFont val="Calibri"/>
        <family val="2"/>
        <charset val="186"/>
        <scheme val="minor"/>
      </rPr>
      <t>M&amp;R</t>
    </r>
    <r>
      <rPr>
        <sz val="10"/>
        <color theme="1"/>
        <rFont val="Calibri"/>
        <family val="2"/>
        <charset val="186"/>
        <scheme val="minor"/>
      </rPr>
      <t xml:space="preserve"> - Iekārtu remonta un uzturēšanas izmaksas, EUR/gadā</t>
    </r>
  </si>
  <si>
    <r>
      <t>C</t>
    </r>
    <r>
      <rPr>
        <vertAlign val="subscript"/>
        <sz val="10"/>
        <color theme="1"/>
        <rFont val="Calibri"/>
        <family val="2"/>
        <charset val="186"/>
        <scheme val="minor"/>
      </rPr>
      <t xml:space="preserve">othR </t>
    </r>
    <r>
      <rPr>
        <sz val="10"/>
        <color theme="1"/>
        <rFont val="Calibri"/>
        <family val="2"/>
        <charset val="186"/>
        <scheme val="minor"/>
      </rPr>
      <t>– citas siltumenerģijas ražošanas izmaksas, EUR/gadā</t>
    </r>
  </si>
  <si>
    <r>
      <t>N</t>
    </r>
    <r>
      <rPr>
        <vertAlign val="subscript"/>
        <sz val="10"/>
        <color theme="1"/>
        <rFont val="Calibri"/>
        <family val="2"/>
        <charset val="186"/>
        <scheme val="minor"/>
      </rPr>
      <t>N</t>
    </r>
    <r>
      <rPr>
        <sz val="10"/>
        <color theme="1"/>
        <rFont val="Calibri"/>
        <family val="2"/>
        <charset val="186"/>
        <scheme val="minor"/>
      </rPr>
      <t xml:space="preserve"> – tehnoloģijas uzstādītā jauda, kW</t>
    </r>
  </si>
  <si>
    <t>IZMAKSAS</t>
  </si>
  <si>
    <r>
      <t>VC</t>
    </r>
    <r>
      <rPr>
        <b/>
        <vertAlign val="subscript"/>
        <sz val="10"/>
        <color theme="1"/>
        <rFont val="Calibri"/>
        <family val="2"/>
        <charset val="186"/>
        <scheme val="minor"/>
      </rPr>
      <t>R</t>
    </r>
    <r>
      <rPr>
        <b/>
        <sz val="10"/>
        <color theme="1"/>
        <rFont val="Calibri"/>
        <family val="2"/>
        <charset val="186"/>
        <scheme val="minor"/>
      </rPr>
      <t>, siltumenerģijas ražošanas tarifa mainīgās izmaksas, EUR/gadā:</t>
    </r>
  </si>
  <si>
    <t>Siltumenerģijas ražošanas TARIFS, REZULTĀTI</t>
  </si>
  <si>
    <t>Patstāvīgās izmaksas, EUR/MWh</t>
  </si>
  <si>
    <t>Mainīgās izmaksas, EUR/MWh</t>
  </si>
  <si>
    <t xml:space="preserve"> Nordpool (LV) pēdējo 6 mēnešu vidējā (10.2023 - 03.2024)</t>
  </si>
  <si>
    <t>ECOMAX 30</t>
  </si>
  <si>
    <t>ECOMAX 40</t>
  </si>
  <si>
    <t>ECOMAX 50</t>
  </si>
  <si>
    <t>75-78%</t>
  </si>
  <si>
    <t>KTP20</t>
  </si>
  <si>
    <t>KTP25</t>
  </si>
  <si>
    <t>KTP30</t>
  </si>
  <si>
    <t>KTP40</t>
  </si>
  <si>
    <t>KTP49</t>
  </si>
  <si>
    <t>CENTROMETAL EKO CK-P 20 Malkas apkures katls</t>
  </si>
  <si>
    <t>CENTROMETAL EKO CK-P 25 Malkas apkures katls</t>
  </si>
  <si>
    <t>CENTROMETAL EKO CK-P 30 Malkas apkures katls</t>
  </si>
  <si>
    <t>CENTROMETAL EKO CK-P 35 Malkas apkures katls</t>
  </si>
  <si>
    <t>CENTROMETAL EKO CK-P 40 Malkas apkures katls</t>
  </si>
  <si>
    <t>Apkures katls Partner 16 T</t>
  </si>
  <si>
    <t>Apkures katls Partner 24 T</t>
  </si>
  <si>
    <t>Apkures katls Partner 34 T</t>
  </si>
  <si>
    <t>SOKOL SE 60 kW ar horizontālu siltummaini</t>
  </si>
  <si>
    <t>SOKOL malkas apkures katli SE 100 kW ar horizontālu siltummaini</t>
  </si>
  <si>
    <t>SOKOL SE 70 kW ar horizontālu siltummaini</t>
  </si>
  <si>
    <t>SLIM PELLET MINI-10kW</t>
  </si>
  <si>
    <t>SLIM PELLET MINI-15kW</t>
  </si>
  <si>
    <t>SLIM PELLET-20kW</t>
  </si>
  <si>
    <t>Thermoflux granulu apkures katls Interio 15 ar granulu tvertni 50kg</t>
  </si>
  <si>
    <t>Thermoflux granulu apkures katls Pelling 25 Maxi ar granulu tvertni 135kg, </t>
  </si>
  <si>
    <t>Thermoflux granulu apkures katls Pelling 35 Maxi ar granulu tvertni 151kg</t>
  </si>
  <si>
    <t>Kondensācijas katls GC7000iW 42 P (ErP) Condens cirkulācijas</t>
  </si>
  <si>
    <t>Kondensācijas apkures katls Vitocrossal CI 280 kW</t>
  </si>
  <si>
    <t>Kondensācijas katls GC7000iW 35 P (ErP) Condens cirkulācijas</t>
  </si>
  <si>
    <t>Kondensācijas apkures katls Vitocrossal CIB 200 kW</t>
  </si>
  <si>
    <t>Thermoflux  granulu apkures katls Pelling 50 Maxi ar granulu tvertni 185kg</t>
  </si>
  <si>
    <t>RTB 10kW-V13 + 120 kg tvertne</t>
  </si>
  <si>
    <t>RTB 16kW-V13 + 120 kg tvertne</t>
  </si>
  <si>
    <t>RTB 30kW + 120 kg tvertne</t>
  </si>
  <si>
    <t>RTB 50kW+ 220 kg tvertne</t>
  </si>
  <si>
    <t>RTB 80kW+ 320 kg tvertne</t>
  </si>
  <si>
    <t>Black Star 10 Comfort</t>
  </si>
  <si>
    <t>Black Star 20 Comfort</t>
  </si>
  <si>
    <t>Black Star 30 Comfort</t>
  </si>
  <si>
    <t>Black Star 40 Comfort</t>
  </si>
  <si>
    <t>*Lai saskaņotu zemākas prioritātes risinājumu, jāiesniedz ekonomiskais aprēķins vai skaidrojums par tehniskiem ierobežojumiem par katru augstāko prioritāti</t>
  </si>
  <si>
    <t>Gāzes katls BLUEHELIX TECH 18A</t>
  </si>
  <si>
    <t xml:space="preserve">BLUEHELIX HITECH RRT 28C (EU) </t>
  </si>
  <si>
    <t>Gāzes Apkures Katls Bosch Condens GC2300iW 24P Kondensācijas 24kW, 7736901537</t>
  </si>
  <si>
    <t>Gāzes Apkures Katls Bosch Condens GC9000i W 40 Kondensācijas 40kW, 7736701322</t>
  </si>
  <si>
    <t>Gāzes Apkures Katls Bosch Condens GC9000i W 30E Kondensācijas 30kW, 7736701321</t>
  </si>
  <si>
    <t>Gāzes Apkures Katls Bosch Condens GC9000i W 20E Kondensācijas 20kW, 7736701320</t>
  </si>
  <si>
    <t>Gāzes Apkures Katls Bosch Condens GC9000i W 50 Kondensācijas 50kW, 7736701323</t>
  </si>
  <si>
    <t>Bosch GC2300iW 15/25C KW kombinēts gāzes apkures katls</t>
  </si>
  <si>
    <t>Bosch GC2300iW 24/25C KW kombinēts gāzes apkures katls</t>
  </si>
  <si>
    <t>Bosch GC7000iW 24/28C KW kombinēts gāzes apkures katls</t>
  </si>
  <si>
    <t>Bosch GC7000iW 30/35C KW kombinēts gāzes apkures katls</t>
  </si>
  <si>
    <t>Piezīmes vai paskaidrojumi</t>
  </si>
  <si>
    <t>Darbība</t>
  </si>
  <si>
    <t>Saite</t>
  </si>
  <si>
    <t>https://mvd.riga.lv/par-mums/komisijas/siltumapgades-jautajumu-komisija/</t>
  </si>
  <si>
    <t>Brīvā tekstā - dzīvoklis, daudzdzīvokļu ēka, biroja ēka, noliktavas u.t.t.</t>
  </si>
  <si>
    <t>norādīt telpu platību, kuru paredzēts apsildīt</t>
  </si>
  <si>
    <t>Apkure, karstais ūdens sagatavošana, baseina apsilde, tehnoloģiskie procesi, u.c.</t>
  </si>
  <si>
    <t xml:space="preserve">2024. gada 21.februāra Rīgas domes saistošie noteikumi Nr. RD-24-260-sn </t>
  </si>
  <si>
    <t>22.1. lokālās apkures iekārtas – iekārtas, kas paredzētas siltumapgādes nodrošināšanai vairākās ēkās, izmantojot lokālus siltumtīklus;
22.2. individuālās apkures iekārtas – iekārtas, kas paredzētas siltumapgādes nodrošināšanai atsevišķā ēkā vai atsevišķu telpu apsildīšanai ēkā.</t>
  </si>
  <si>
    <t>zaļās šūnas aizpildās automātiski</t>
  </si>
  <si>
    <t xml:space="preserve">*Ja tiek mainītas cenas, jāsniedz skaidrojums kā tās veidojās. Skaidrot pavadvēstulē, iesniedzot aprēķinu Siltumapgādes jautājumu komisijai dmv@riga.lv </t>
  </si>
  <si>
    <r>
      <t>Apsildāmā platība, m</t>
    </r>
    <r>
      <rPr>
        <vertAlign val="superscript"/>
        <sz val="10"/>
        <color theme="1"/>
        <rFont val="Calibri"/>
        <family val="2"/>
        <charset val="186"/>
        <scheme val="minor"/>
      </rPr>
      <t>2</t>
    </r>
    <r>
      <rPr>
        <sz val="10"/>
        <color theme="1"/>
        <rFont val="Calibri"/>
        <family val="2"/>
        <charset val="186"/>
        <scheme val="minor"/>
      </rPr>
      <t>:</t>
    </r>
  </si>
  <si>
    <t>Piezīmes/skaidrojums</t>
  </si>
  <si>
    <t>Plānotais</t>
  </si>
  <si>
    <t>oranžajās šūnās norādītas noklusējuma vērtības, kuras var labot pēc faktiskā</t>
  </si>
  <si>
    <t>Ekonomiskā izdevīguma noteikšanas aprēķins</t>
  </si>
  <si>
    <t>Skatīt saņemtajā lēmumā vai Mājokļu un vides departamenta mājaslapā vai arī www.georiga.lv/Teritoriālās zonas siltumapgādes veida izvēlei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</si>
</sst>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.00\ &quot;€&quot;"/>
    <numFmt numFmtId="165" formatCode="0.0"/>
    <numFmt numFmtId="166" formatCode="#,##0.0\ &quot;€&quot;"/>
    <numFmt numFmtId="167" formatCode="#,##0.00000\ &quot;€&quot;"/>
    <numFmt numFmtId="168" formatCode="0.000"/>
    <numFmt numFmtId="169" formatCode="#,##0\ &quot;€&quot;"/>
  </numFmts>
  <fonts count="33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0"/>
      <color theme="1"/>
      <name val="Arial"/>
      <family val="2"/>
      <charset val="186"/>
    </font>
    <font>
      <sz val="10"/>
      <color theme="1"/>
      <name val="Calibri"/>
      <family val="2"/>
      <charset val="186"/>
      <scheme val="minor"/>
    </font>
    <font>
      <i/>
      <sz val="11"/>
      <color theme="5"/>
      <name val="Calibri"/>
      <family val="2"/>
      <charset val="186"/>
      <scheme val="minor"/>
    </font>
    <font>
      <vertAlign val="subscript"/>
      <sz val="10"/>
      <color theme="1"/>
      <name val="Calibri"/>
      <family val="2"/>
      <charset val="186"/>
      <scheme val="minor"/>
    </font>
    <font>
      <b/>
      <sz val="13"/>
      <color theme="1"/>
      <name val="Calibri"/>
      <family val="2"/>
      <charset val="186"/>
      <scheme val="minor"/>
    </font>
    <font>
      <sz val="10"/>
      <color theme="5"/>
      <name val="Calibri"/>
      <family val="2"/>
      <charset val="186"/>
      <scheme val="minor"/>
    </font>
    <font>
      <b/>
      <sz val="10"/>
      <color theme="1"/>
      <name val="Calibri"/>
      <family val="2"/>
      <charset val="186"/>
      <scheme val="minor"/>
    </font>
    <font>
      <i/>
      <sz val="10"/>
      <color theme="1"/>
      <name val="Calibri"/>
      <family val="2"/>
      <charset val="186"/>
      <scheme val="minor"/>
    </font>
    <font>
      <b/>
      <vertAlign val="subscript"/>
      <sz val="10"/>
      <color theme="1"/>
      <name val="Calibri"/>
      <family val="2"/>
      <charset val="186"/>
      <scheme val="minor"/>
    </font>
    <font>
      <sz val="9"/>
      <color indexed="81"/>
      <name val="Tahoma"/>
      <family val="2"/>
      <charset val="186"/>
    </font>
    <font>
      <sz val="10"/>
      <color rgb="FF0070C0"/>
      <name val="Calibri"/>
      <family val="2"/>
      <charset val="186"/>
      <scheme val="minor"/>
    </font>
    <font>
      <u/>
      <sz val="11"/>
      <color theme="10"/>
      <name val="Calibri"/>
      <family val="2"/>
      <charset val="186"/>
      <scheme val="minor"/>
    </font>
    <font>
      <b/>
      <sz val="9"/>
      <color indexed="81"/>
      <name val="Tahoma"/>
      <family val="2"/>
      <charset val="186"/>
    </font>
    <font>
      <sz val="11"/>
      <color theme="1"/>
      <name val="Calibri"/>
      <family val="2"/>
      <charset val="186"/>
      <scheme val="minor"/>
    </font>
    <font>
      <sz val="9"/>
      <color rgb="FFFF0000"/>
      <name val="Calibri"/>
      <family val="2"/>
      <charset val="186"/>
      <scheme val="minor"/>
    </font>
    <font>
      <sz val="8"/>
      <name val="Calibri"/>
      <family val="2"/>
      <charset val="186"/>
      <scheme val="minor"/>
    </font>
    <font>
      <sz val="9"/>
      <color rgb="FF444444"/>
      <name val="Roboto"/>
    </font>
    <font>
      <sz val="7"/>
      <color rgb="FF414142"/>
      <name val="Arial"/>
      <family val="2"/>
      <charset val="186"/>
    </font>
    <font>
      <sz val="8"/>
      <color rgb="FF2E3192"/>
      <name val="Ubuntu"/>
      <family val="2"/>
    </font>
    <font>
      <sz val="9"/>
      <color rgb="FF444444"/>
      <name val="Roboto"/>
      <charset val="186"/>
    </font>
    <font>
      <sz val="9"/>
      <color theme="1"/>
      <name val="Calibri"/>
      <family val="2"/>
      <charset val="186"/>
      <scheme val="minor"/>
    </font>
    <font>
      <sz val="8"/>
      <color rgb="FF898989"/>
      <name val="Open Sans"/>
      <family val="2"/>
    </font>
    <font>
      <sz val="8"/>
      <color theme="1"/>
      <name val="Calibri Light"/>
      <family val="2"/>
      <charset val="186"/>
      <scheme val="major"/>
    </font>
    <font>
      <u/>
      <sz val="8"/>
      <color theme="10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sz val="8"/>
      <color theme="1"/>
      <name val="Calibri"/>
      <family val="2"/>
      <charset val="186"/>
      <scheme val="minor"/>
    </font>
    <font>
      <u/>
      <sz val="8"/>
      <color theme="1"/>
      <name val="Calibri"/>
      <family val="2"/>
      <charset val="186"/>
      <scheme val="minor"/>
    </font>
    <font>
      <vertAlign val="superscript"/>
      <sz val="10"/>
      <color theme="1"/>
      <name val="Calibri"/>
      <family val="2"/>
      <charset val="186"/>
      <scheme val="minor"/>
    </font>
    <font>
      <sz val="10"/>
      <color rgb="FFFF0000"/>
      <name val="Calibri"/>
      <family val="2"/>
      <charset val="186"/>
      <scheme val="minor"/>
    </font>
    <font>
      <b/>
      <sz val="9"/>
      <name val="Calibri"/>
      <family val="2"/>
      <charset val="186"/>
      <scheme val="minor"/>
    </font>
    <font>
      <sz val="10"/>
      <name val="Calibri"/>
      <family val="2"/>
      <charset val="186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</fills>
  <borders count="5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 diagonalDown="1">
      <left/>
      <right/>
      <top style="medium">
        <color indexed="64"/>
      </top>
      <bottom/>
      <diagonal style="thin">
        <color indexed="64"/>
      </diagonal>
    </border>
    <border diagonalUp="1"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Up="1" diagonalDown="1">
      <left style="thin">
        <color indexed="64"/>
      </left>
      <right/>
      <top/>
      <bottom/>
      <diagonal style="thin">
        <color indexed="64"/>
      </diagonal>
    </border>
    <border diagonalUp="1" diagonalDown="1">
      <left/>
      <right/>
      <top/>
      <bottom/>
      <diagonal style="thin">
        <color indexed="64"/>
      </diagonal>
    </border>
    <border diagonalUp="1" diagonalDown="1">
      <left/>
      <right style="thin">
        <color indexed="64"/>
      </right>
      <top/>
      <bottom/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3" fillId="0" borderId="0" applyNumberFormat="0" applyFill="0" applyBorder="0" applyAlignment="0" applyProtection="0"/>
    <xf numFmtId="9" fontId="15" fillId="0" borderId="0" applyFont="0" applyFill="0" applyBorder="0" applyAlignment="0" applyProtection="0"/>
  </cellStyleXfs>
  <cellXfs count="26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7" fillId="0" borderId="0" xfId="0" applyFont="1"/>
    <xf numFmtId="0" fontId="0" fillId="0" borderId="3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3" xfId="0" applyBorder="1"/>
    <xf numFmtId="0" fontId="0" fillId="0" borderId="14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9" fillId="0" borderId="0" xfId="0" applyFont="1"/>
    <xf numFmtId="0" fontId="3" fillId="0" borderId="0" xfId="0" applyFont="1" applyAlignment="1">
      <alignment horizontal="left" vertical="top"/>
    </xf>
    <xf numFmtId="0" fontId="12" fillId="0" borderId="0" xfId="0" applyFont="1"/>
    <xf numFmtId="0" fontId="0" fillId="0" borderId="3" xfId="0" applyBorder="1" applyAlignment="1">
      <alignment horizontal="center" vertical="center" wrapText="1"/>
    </xf>
    <xf numFmtId="1" fontId="0" fillId="0" borderId="0" xfId="0" applyNumberFormat="1"/>
    <xf numFmtId="0" fontId="0" fillId="0" borderId="21" xfId="0" applyBorder="1" applyAlignment="1">
      <alignment vertical="center"/>
    </xf>
    <xf numFmtId="0" fontId="13" fillId="0" borderId="22" xfId="1" applyBorder="1" applyAlignment="1">
      <alignment wrapText="1"/>
    </xf>
    <xf numFmtId="0" fontId="0" fillId="0" borderId="22" xfId="0" applyBorder="1" applyAlignment="1">
      <alignment vertical="center"/>
    </xf>
    <xf numFmtId="0" fontId="0" fillId="0" borderId="24" xfId="0" applyBorder="1" applyAlignment="1">
      <alignment horizontal="right" vertical="center"/>
    </xf>
    <xf numFmtId="164" fontId="0" fillId="0" borderId="25" xfId="0" applyNumberFormat="1" applyBorder="1" applyAlignment="1">
      <alignment horizontal="center"/>
    </xf>
    <xf numFmtId="164" fontId="0" fillId="0" borderId="25" xfId="0" applyNumberFormat="1" applyBorder="1"/>
    <xf numFmtId="0" fontId="0" fillId="0" borderId="27" xfId="0" applyBorder="1" applyAlignment="1">
      <alignment vertical="center"/>
    </xf>
    <xf numFmtId="14" fontId="0" fillId="0" borderId="18" xfId="0" applyNumberForma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0" fillId="0" borderId="22" xfId="0" applyBorder="1"/>
    <xf numFmtId="0" fontId="0" fillId="0" borderId="26" xfId="0" applyBorder="1"/>
    <xf numFmtId="0" fontId="0" fillId="0" borderId="29" xfId="0" applyBorder="1" applyAlignment="1">
      <alignment vertical="center"/>
    </xf>
    <xf numFmtId="0" fontId="0" fillId="0" borderId="15" xfId="0" applyBorder="1"/>
    <xf numFmtId="0" fontId="0" fillId="0" borderId="15" xfId="0" applyBorder="1" applyAlignment="1">
      <alignment wrapText="1"/>
    </xf>
    <xf numFmtId="0" fontId="3" fillId="0" borderId="15" xfId="0" applyFont="1" applyBorder="1" applyAlignment="1">
      <alignment wrapText="1"/>
    </xf>
    <xf numFmtId="0" fontId="0" fillId="0" borderId="32" xfId="0" applyBorder="1" applyAlignment="1">
      <alignment horizontal="right" vertical="center"/>
    </xf>
    <xf numFmtId="164" fontId="0" fillId="0" borderId="6" xfId="0" applyNumberFormat="1" applyBorder="1" applyAlignment="1">
      <alignment horizontal="center"/>
    </xf>
    <xf numFmtId="164" fontId="0" fillId="0" borderId="6" xfId="0" applyNumberFormat="1" applyBorder="1"/>
    <xf numFmtId="0" fontId="0" fillId="0" borderId="22" xfId="0" applyBorder="1" applyAlignment="1">
      <alignment vertical="center" wrapText="1"/>
    </xf>
    <xf numFmtId="0" fontId="0" fillId="4" borderId="26" xfId="0" applyFill="1" applyBorder="1"/>
    <xf numFmtId="0" fontId="0" fillId="4" borderId="23" xfId="0" applyFill="1" applyBorder="1"/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2" fontId="0" fillId="0" borderId="3" xfId="0" applyNumberFormat="1" applyBorder="1"/>
    <xf numFmtId="164" fontId="0" fillId="0" borderId="3" xfId="0" applyNumberFormat="1" applyBorder="1"/>
    <xf numFmtId="0" fontId="0" fillId="0" borderId="21" xfId="0" applyBorder="1"/>
    <xf numFmtId="2" fontId="0" fillId="0" borderId="22" xfId="0" applyNumberFormat="1" applyBorder="1"/>
    <xf numFmtId="0" fontId="0" fillId="0" borderId="4" xfId="0" applyBorder="1" applyAlignment="1">
      <alignment horizontal="right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right" vertical="center"/>
    </xf>
    <xf numFmtId="0" fontId="0" fillId="0" borderId="4" xfId="0" applyBorder="1"/>
    <xf numFmtId="0" fontId="0" fillId="0" borderId="32" xfId="0" applyBorder="1" applyAlignment="1">
      <alignment horizontal="right"/>
    </xf>
    <xf numFmtId="0" fontId="0" fillId="0" borderId="6" xfId="0" applyBorder="1" applyAlignment="1">
      <alignment horizontal="right" vertical="center"/>
    </xf>
    <xf numFmtId="0" fontId="0" fillId="0" borderId="4" xfId="0" applyBorder="1" applyAlignment="1">
      <alignment horizontal="left" vertical="center"/>
    </xf>
    <xf numFmtId="0" fontId="0" fillId="0" borderId="25" xfId="0" applyBorder="1"/>
    <xf numFmtId="0" fontId="0" fillId="0" borderId="32" xfId="0" applyBorder="1" applyAlignment="1">
      <alignment horizontal="left" vertical="center"/>
    </xf>
    <xf numFmtId="0" fontId="0" fillId="0" borderId="6" xfId="0" applyBorder="1"/>
    <xf numFmtId="165" fontId="0" fillId="0" borderId="3" xfId="0" applyNumberFormat="1" applyBorder="1"/>
    <xf numFmtId="164" fontId="1" fillId="0" borderId="33" xfId="0" applyNumberFormat="1" applyFont="1" applyBorder="1" applyAlignment="1">
      <alignment horizontal="center" vertical="center"/>
    </xf>
    <xf numFmtId="165" fontId="0" fillId="0" borderId="6" xfId="0" applyNumberFormat="1" applyBorder="1"/>
    <xf numFmtId="0" fontId="0" fillId="0" borderId="4" xfId="0" applyBorder="1" applyAlignment="1">
      <alignment horizontal="left"/>
    </xf>
    <xf numFmtId="1" fontId="0" fillId="0" borderId="3" xfId="0" applyNumberFormat="1" applyBorder="1"/>
    <xf numFmtId="0" fontId="0" fillId="0" borderId="34" xfId="0" applyBorder="1"/>
    <xf numFmtId="0" fontId="0" fillId="0" borderId="24" xfId="0" applyBorder="1"/>
    <xf numFmtId="2" fontId="1" fillId="0" borderId="25" xfId="0" applyNumberFormat="1" applyFont="1" applyBorder="1" applyAlignment="1">
      <alignment horizontal="center"/>
    </xf>
    <xf numFmtId="1" fontId="1" fillId="0" borderId="25" xfId="0" applyNumberFormat="1" applyFont="1" applyBorder="1" applyAlignment="1">
      <alignment horizontal="center"/>
    </xf>
    <xf numFmtId="0" fontId="0" fillId="0" borderId="23" xfId="0" applyBorder="1"/>
    <xf numFmtId="2" fontId="0" fillId="0" borderId="25" xfId="0" applyNumberFormat="1" applyBorder="1" applyAlignment="1">
      <alignment horizontal="center"/>
    </xf>
    <xf numFmtId="2" fontId="0" fillId="0" borderId="25" xfId="0" applyNumberFormat="1" applyBorder="1"/>
    <xf numFmtId="2" fontId="1" fillId="0" borderId="26" xfId="0" applyNumberFormat="1" applyFont="1" applyBorder="1"/>
    <xf numFmtId="0" fontId="1" fillId="0" borderId="26" xfId="0" applyFont="1" applyBorder="1"/>
    <xf numFmtId="166" fontId="0" fillId="0" borderId="3" xfId="0" applyNumberFormat="1" applyBorder="1"/>
    <xf numFmtId="164" fontId="0" fillId="0" borderId="34" xfId="0" applyNumberFormat="1" applyBorder="1"/>
    <xf numFmtId="166" fontId="0" fillId="0" borderId="34" xfId="0" applyNumberFormat="1" applyBorder="1"/>
    <xf numFmtId="0" fontId="1" fillId="0" borderId="44" xfId="0" applyFont="1" applyBorder="1"/>
    <xf numFmtId="0" fontId="0" fillId="0" borderId="45" xfId="0" applyBorder="1"/>
    <xf numFmtId="0" fontId="0" fillId="0" borderId="46" xfId="0" applyBorder="1"/>
    <xf numFmtId="9" fontId="0" fillId="0" borderId="3" xfId="0" applyNumberFormat="1" applyBorder="1"/>
    <xf numFmtId="0" fontId="0" fillId="0" borderId="34" xfId="0" applyBorder="1" applyAlignment="1">
      <alignment horizontal="center"/>
    </xf>
    <xf numFmtId="0" fontId="1" fillId="0" borderId="4" xfId="0" applyFont="1" applyBorder="1" applyAlignment="1">
      <alignment horizontal="right"/>
    </xf>
    <xf numFmtId="0" fontId="1" fillId="0" borderId="34" xfId="0" applyFont="1" applyBorder="1" applyAlignment="1">
      <alignment horizontal="center"/>
    </xf>
    <xf numFmtId="0" fontId="3" fillId="0" borderId="4" xfId="0" applyFont="1" applyBorder="1" applyAlignment="1">
      <alignment horizontal="right"/>
    </xf>
    <xf numFmtId="9" fontId="0" fillId="0" borderId="4" xfId="0" applyNumberFormat="1" applyBorder="1"/>
    <xf numFmtId="9" fontId="0" fillId="0" borderId="24" xfId="0" applyNumberFormat="1" applyBorder="1"/>
    <xf numFmtId="0" fontId="0" fillId="0" borderId="26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164" fontId="0" fillId="0" borderId="0" xfId="0" applyNumberFormat="1"/>
    <xf numFmtId="164" fontId="1" fillId="0" borderId="0" xfId="0" applyNumberFormat="1" applyFont="1"/>
    <xf numFmtId="0" fontId="16" fillId="0" borderId="0" xfId="0" applyFont="1"/>
    <xf numFmtId="0" fontId="0" fillId="0" borderId="13" xfId="0" applyBorder="1" applyAlignment="1">
      <alignment vertical="center"/>
    </xf>
    <xf numFmtId="167" fontId="0" fillId="0" borderId="0" xfId="0" applyNumberFormat="1"/>
    <xf numFmtId="0" fontId="0" fillId="0" borderId="10" xfId="0" applyBorder="1" applyAlignment="1">
      <alignment vertical="center"/>
    </xf>
    <xf numFmtId="167" fontId="0" fillId="0" borderId="11" xfId="0" applyNumberFormat="1" applyBorder="1"/>
    <xf numFmtId="0" fontId="0" fillId="3" borderId="0" xfId="0" applyFill="1"/>
    <xf numFmtId="2" fontId="0" fillId="0" borderId="48" xfId="0" applyNumberFormat="1" applyBorder="1"/>
    <xf numFmtId="0" fontId="13" fillId="0" borderId="47" xfId="1" applyBorder="1"/>
    <xf numFmtId="0" fontId="0" fillId="3" borderId="3" xfId="0" applyFill="1" applyBorder="1"/>
    <xf numFmtId="0" fontId="3" fillId="3" borderId="0" xfId="0" applyFont="1" applyFill="1"/>
    <xf numFmtId="1" fontId="0" fillId="3" borderId="3" xfId="0" applyNumberFormat="1" applyFill="1" applyBorder="1"/>
    <xf numFmtId="0" fontId="0" fillId="4" borderId="33" xfId="0" applyFill="1" applyBorder="1"/>
    <xf numFmtId="1" fontId="0" fillId="0" borderId="23" xfId="0" applyNumberFormat="1" applyBorder="1"/>
    <xf numFmtId="1" fontId="0" fillId="0" borderId="34" xfId="0" applyNumberFormat="1" applyBorder="1"/>
    <xf numFmtId="1" fontId="0" fillId="0" borderId="26" xfId="0" applyNumberFormat="1" applyBorder="1"/>
    <xf numFmtId="0" fontId="19" fillId="0" borderId="0" xfId="0" applyFont="1"/>
    <xf numFmtId="9" fontId="0" fillId="0" borderId="0" xfId="0" applyNumberFormat="1"/>
    <xf numFmtId="169" fontId="3" fillId="6" borderId="3" xfId="0" applyNumberFormat="1" applyFont="1" applyFill="1" applyBorder="1"/>
    <xf numFmtId="169" fontId="3" fillId="6" borderId="3" xfId="0" applyNumberFormat="1" applyFont="1" applyFill="1" applyBorder="1" applyAlignment="1">
      <alignment horizontal="center" vertical="center"/>
    </xf>
    <xf numFmtId="169" fontId="3" fillId="0" borderId="3" xfId="0" applyNumberFormat="1" applyFont="1" applyBorder="1" applyAlignment="1">
      <alignment horizontal="center"/>
    </xf>
    <xf numFmtId="169" fontId="8" fillId="5" borderId="3" xfId="0" applyNumberFormat="1" applyFont="1" applyFill="1" applyBorder="1" applyAlignment="1">
      <alignment horizontal="center" vertical="center"/>
    </xf>
    <xf numFmtId="169" fontId="3" fillId="5" borderId="3" xfId="0" applyNumberFormat="1" applyFont="1" applyFill="1" applyBorder="1" applyAlignment="1">
      <alignment horizontal="center" vertical="center"/>
    </xf>
    <xf numFmtId="1" fontId="3" fillId="5" borderId="3" xfId="0" applyNumberFormat="1" applyFont="1" applyFill="1" applyBorder="1" applyAlignment="1">
      <alignment horizontal="center" vertical="center"/>
    </xf>
    <xf numFmtId="165" fontId="3" fillId="6" borderId="3" xfId="0" applyNumberFormat="1" applyFont="1" applyFill="1" applyBorder="1" applyAlignment="1">
      <alignment horizontal="center" vertical="center"/>
    </xf>
    <xf numFmtId="168" fontId="3" fillId="5" borderId="3" xfId="0" applyNumberFormat="1" applyFont="1" applyFill="1" applyBorder="1" applyAlignment="1">
      <alignment horizontal="center" vertical="center"/>
    </xf>
    <xf numFmtId="1" fontId="3" fillId="6" borderId="3" xfId="0" applyNumberFormat="1" applyFont="1" applyFill="1" applyBorder="1" applyAlignment="1">
      <alignment horizontal="center" vertical="center"/>
    </xf>
    <xf numFmtId="1" fontId="3" fillId="6" borderId="3" xfId="2" applyNumberFormat="1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 wrapText="1"/>
    </xf>
    <xf numFmtId="0" fontId="3" fillId="0" borderId="29" xfId="0" applyFont="1" applyBorder="1"/>
    <xf numFmtId="0" fontId="3" fillId="0" borderId="4" xfId="0" applyFont="1" applyBorder="1"/>
    <xf numFmtId="168" fontId="3" fillId="5" borderId="34" xfId="0" applyNumberFormat="1" applyFont="1" applyFill="1" applyBorder="1" applyAlignment="1">
      <alignment horizontal="center" vertical="center"/>
    </xf>
    <xf numFmtId="1" fontId="3" fillId="5" borderId="34" xfId="0" applyNumberFormat="1" applyFont="1" applyFill="1" applyBorder="1" applyAlignment="1">
      <alignment horizontal="center" vertical="center"/>
    </xf>
    <xf numFmtId="0" fontId="8" fillId="5" borderId="4" xfId="0" applyFont="1" applyFill="1" applyBorder="1" applyAlignment="1">
      <alignment vertical="center"/>
    </xf>
    <xf numFmtId="169" fontId="8" fillId="5" borderId="34" xfId="0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169" fontId="3" fillId="5" borderId="34" xfId="0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horizontal="right" wrapText="1"/>
    </xf>
    <xf numFmtId="169" fontId="3" fillId="6" borderId="34" xfId="0" applyNumberFormat="1" applyFont="1" applyFill="1" applyBorder="1"/>
    <xf numFmtId="0" fontId="3" fillId="0" borderId="4" xfId="0" applyFont="1" applyBorder="1" applyAlignment="1">
      <alignment wrapText="1"/>
    </xf>
    <xf numFmtId="169" fontId="3" fillId="6" borderId="34" xfId="0" applyNumberFormat="1" applyFont="1" applyFill="1" applyBorder="1" applyAlignment="1">
      <alignment horizontal="center" vertical="center"/>
    </xf>
    <xf numFmtId="0" fontId="8" fillId="5" borderId="4" xfId="0" applyFont="1" applyFill="1" applyBorder="1" applyAlignment="1">
      <alignment vertical="center" wrapText="1"/>
    </xf>
    <xf numFmtId="169" fontId="3" fillId="0" borderId="34" xfId="0" applyNumberFormat="1" applyFont="1" applyBorder="1" applyAlignment="1">
      <alignment horizontal="center"/>
    </xf>
    <xf numFmtId="0" fontId="8" fillId="5" borderId="24" xfId="0" applyFont="1" applyFill="1" applyBorder="1"/>
    <xf numFmtId="164" fontId="8" fillId="5" borderId="25" xfId="0" applyNumberFormat="1" applyFont="1" applyFill="1" applyBorder="1" applyAlignment="1">
      <alignment horizontal="center"/>
    </xf>
    <xf numFmtId="164" fontId="8" fillId="5" borderId="26" xfId="0" applyNumberFormat="1" applyFont="1" applyFill="1" applyBorder="1" applyAlignment="1">
      <alignment horizontal="center"/>
    </xf>
    <xf numFmtId="165" fontId="3" fillId="6" borderId="3" xfId="2" applyNumberFormat="1" applyFont="1" applyFill="1" applyBorder="1" applyAlignment="1">
      <alignment horizontal="center" vertical="center"/>
    </xf>
    <xf numFmtId="165" fontId="3" fillId="6" borderId="34" xfId="2" applyNumberFormat="1" applyFont="1" applyFill="1" applyBorder="1" applyAlignment="1">
      <alignment horizontal="center" vertical="center"/>
    </xf>
    <xf numFmtId="1" fontId="3" fillId="5" borderId="3" xfId="2" applyNumberFormat="1" applyFont="1" applyFill="1" applyBorder="1" applyAlignment="1">
      <alignment horizontal="center" vertical="center"/>
    </xf>
    <xf numFmtId="1" fontId="3" fillId="5" borderId="34" xfId="2" applyNumberFormat="1" applyFont="1" applyFill="1" applyBorder="1" applyAlignment="1">
      <alignment horizontal="center" vertical="center"/>
    </xf>
    <xf numFmtId="9" fontId="3" fillId="6" borderId="3" xfId="2" applyFont="1" applyFill="1" applyBorder="1" applyAlignment="1">
      <alignment horizontal="center" vertical="center"/>
    </xf>
    <xf numFmtId="9" fontId="3" fillId="6" borderId="34" xfId="2" applyFont="1" applyFill="1" applyBorder="1" applyAlignment="1">
      <alignment horizontal="center" vertical="center"/>
    </xf>
    <xf numFmtId="0" fontId="0" fillId="0" borderId="32" xfId="0" applyBorder="1" applyAlignment="1">
      <alignment vertical="center"/>
    </xf>
    <xf numFmtId="9" fontId="0" fillId="0" borderId="3" xfId="0" applyNumberFormat="1" applyBorder="1" applyAlignment="1">
      <alignment horizontal="right"/>
    </xf>
    <xf numFmtId="0" fontId="18" fillId="0" borderId="21" xfId="0" applyFont="1" applyBorder="1"/>
    <xf numFmtId="9" fontId="18" fillId="0" borderId="22" xfId="0" applyNumberFormat="1" applyFont="1" applyBorder="1"/>
    <xf numFmtId="0" fontId="18" fillId="0" borderId="4" xfId="0" applyFont="1" applyBorder="1"/>
    <xf numFmtId="0" fontId="20" fillId="0" borderId="4" xfId="0" applyFont="1" applyBorder="1"/>
    <xf numFmtId="0" fontId="21" fillId="0" borderId="21" xfId="0" applyFont="1" applyBorder="1"/>
    <xf numFmtId="0" fontId="21" fillId="0" borderId="4" xfId="0" applyFont="1" applyBorder="1"/>
    <xf numFmtId="1" fontId="0" fillId="0" borderId="22" xfId="0" applyNumberFormat="1" applyBorder="1"/>
    <xf numFmtId="0" fontId="21" fillId="0" borderId="27" xfId="0" applyFont="1" applyBorder="1"/>
    <xf numFmtId="0" fontId="22" fillId="0" borderId="13" xfId="0" applyFont="1" applyBorder="1"/>
    <xf numFmtId="0" fontId="23" fillId="0" borderId="0" xfId="0" applyFont="1"/>
    <xf numFmtId="0" fontId="24" fillId="0" borderId="0" xfId="0" applyFont="1" applyAlignment="1">
      <alignment wrapText="1"/>
    </xf>
    <xf numFmtId="0" fontId="25" fillId="7" borderId="3" xfId="1" applyFont="1" applyFill="1" applyBorder="1" applyAlignment="1">
      <alignment horizontal="center" vertical="center" wrapText="1"/>
    </xf>
    <xf numFmtId="0" fontId="0" fillId="2" borderId="52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53" xfId="0" applyFill="1" applyBorder="1" applyAlignment="1">
      <alignment horizontal="center"/>
    </xf>
    <xf numFmtId="0" fontId="0" fillId="2" borderId="49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50" xfId="0" applyFill="1" applyBorder="1" applyAlignment="1">
      <alignment horizontal="center"/>
    </xf>
    <xf numFmtId="0" fontId="6" fillId="4" borderId="21" xfId="0" applyFont="1" applyFill="1" applyBorder="1" applyAlignment="1">
      <alignment horizontal="center"/>
    </xf>
    <xf numFmtId="0" fontId="6" fillId="4" borderId="22" xfId="0" applyFont="1" applyFill="1" applyBorder="1" applyAlignment="1">
      <alignment horizontal="center"/>
    </xf>
    <xf numFmtId="0" fontId="6" fillId="4" borderId="23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34" xfId="0" applyFill="1" applyBorder="1" applyAlignment="1">
      <alignment horizontal="center"/>
    </xf>
    <xf numFmtId="0" fontId="1" fillId="0" borderId="4" xfId="0" applyFont="1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0" fillId="0" borderId="17" xfId="0" applyBorder="1" applyAlignment="1">
      <alignment horizontal="center" vertical="center"/>
    </xf>
    <xf numFmtId="164" fontId="1" fillId="0" borderId="9" xfId="0" applyNumberFormat="1" applyFont="1" applyBorder="1" applyAlignment="1">
      <alignment horizontal="center" vertical="center"/>
    </xf>
    <xf numFmtId="164" fontId="1" fillId="0" borderId="14" xfId="0" applyNumberFormat="1" applyFont="1" applyBorder="1" applyAlignment="1">
      <alignment horizontal="center" vertic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164" fontId="1" fillId="0" borderId="23" xfId="0" applyNumberFormat="1" applyFont="1" applyBorder="1" applyAlignment="1">
      <alignment horizontal="center" vertical="center"/>
    </xf>
    <xf numFmtId="164" fontId="1" fillId="0" borderId="26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center"/>
    </xf>
    <xf numFmtId="2" fontId="0" fillId="0" borderId="25" xfId="0" applyNumberFormat="1" applyBorder="1" applyAlignment="1">
      <alignment horizontal="center"/>
    </xf>
    <xf numFmtId="164" fontId="1" fillId="0" borderId="34" xfId="0" applyNumberFormat="1" applyFont="1" applyBorder="1" applyAlignment="1">
      <alignment horizontal="center" vertical="center"/>
    </xf>
    <xf numFmtId="0" fontId="0" fillId="0" borderId="40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4" borderId="21" xfId="0" applyFill="1" applyBorder="1" applyAlignment="1">
      <alignment horizontal="left" vertical="center" wrapText="1"/>
    </xf>
    <xf numFmtId="0" fontId="0" fillId="4" borderId="24" xfId="0" applyFill="1" applyBorder="1" applyAlignment="1">
      <alignment horizontal="left" vertical="center" wrapText="1"/>
    </xf>
    <xf numFmtId="0" fontId="0" fillId="4" borderId="22" xfId="0" applyFill="1" applyBorder="1" applyAlignment="1">
      <alignment vertical="center" wrapText="1"/>
    </xf>
    <xf numFmtId="0" fontId="0" fillId="4" borderId="25" xfId="0" applyFill="1" applyBorder="1" applyAlignment="1">
      <alignment vertical="center" wrapText="1"/>
    </xf>
    <xf numFmtId="0" fontId="0" fillId="4" borderId="22" xfId="0" applyFill="1" applyBorder="1" applyAlignment="1">
      <alignment horizontal="center" vertical="center" wrapText="1"/>
    </xf>
    <xf numFmtId="0" fontId="0" fillId="4" borderId="25" xfId="0" applyFill="1" applyBorder="1" applyAlignment="1">
      <alignment horizontal="center" vertical="center" wrapText="1"/>
    </xf>
    <xf numFmtId="14" fontId="0" fillId="0" borderId="19" xfId="0" applyNumberFormat="1" applyBorder="1" applyAlignment="1">
      <alignment horizontal="center" vertical="center"/>
    </xf>
    <xf numFmtId="14" fontId="0" fillId="0" borderId="30" xfId="0" applyNumberFormat="1" applyBorder="1" applyAlignment="1">
      <alignment horizontal="center" vertical="center"/>
    </xf>
    <xf numFmtId="164" fontId="1" fillId="0" borderId="20" xfId="0" applyNumberFormat="1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14" fontId="0" fillId="0" borderId="22" xfId="0" applyNumberFormat="1" applyBorder="1" applyAlignment="1">
      <alignment horizontal="center" vertical="center"/>
    </xf>
    <xf numFmtId="14" fontId="0" fillId="0" borderId="6" xfId="0" applyNumberForma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3" fillId="0" borderId="18" xfId="1" applyBorder="1" applyAlignment="1">
      <alignment horizontal="left" vertical="center" wrapText="1"/>
    </xf>
    <xf numFmtId="0" fontId="0" fillId="4" borderId="22" xfId="0" applyFill="1" applyBorder="1" applyAlignment="1">
      <alignment horizontal="left" vertical="center" wrapText="1"/>
    </xf>
    <xf numFmtId="0" fontId="0" fillId="4" borderId="25" xfId="0" applyFill="1" applyBorder="1" applyAlignment="1">
      <alignment horizontal="left" vertical="center" wrapText="1"/>
    </xf>
    <xf numFmtId="164" fontId="1" fillId="0" borderId="33" xfId="0" applyNumberFormat="1" applyFont="1" applyBorder="1" applyAlignment="1">
      <alignment horizontal="center" vertical="center"/>
    </xf>
    <xf numFmtId="164" fontId="1" fillId="0" borderId="28" xfId="0" applyNumberFormat="1" applyFont="1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/>
    </xf>
    <xf numFmtId="17" fontId="0" fillId="0" borderId="22" xfId="0" applyNumberFormat="1" applyBorder="1" applyAlignment="1">
      <alignment horizontal="center" vertical="center"/>
    </xf>
    <xf numFmtId="17" fontId="0" fillId="0" borderId="3" xfId="0" applyNumberFormat="1" applyBorder="1" applyAlignment="1">
      <alignment horizontal="center" vertical="center"/>
    </xf>
    <xf numFmtId="0" fontId="0" fillId="4" borderId="19" xfId="0" applyFill="1" applyBorder="1" applyAlignment="1">
      <alignment horizontal="center" vertical="center" wrapText="1"/>
    </xf>
    <xf numFmtId="0" fontId="0" fillId="4" borderId="18" xfId="0" applyFill="1" applyBorder="1" applyAlignment="1">
      <alignment horizontal="center" vertical="center" wrapText="1"/>
    </xf>
    <xf numFmtId="0" fontId="0" fillId="4" borderId="6" xfId="0" applyFill="1" applyBorder="1" applyAlignment="1">
      <alignment vertical="center" wrapText="1"/>
    </xf>
    <xf numFmtId="0" fontId="0" fillId="4" borderId="32" xfId="0" applyFill="1" applyBorder="1" applyAlignment="1">
      <alignment horizontal="left" vertical="center" wrapText="1"/>
    </xf>
    <xf numFmtId="0" fontId="0" fillId="4" borderId="6" xfId="0" applyFill="1" applyBorder="1" applyAlignment="1">
      <alignment horizontal="center" vertical="center" wrapText="1"/>
    </xf>
    <xf numFmtId="0" fontId="1" fillId="0" borderId="21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1" fillId="0" borderId="2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4" xfId="0" applyBorder="1" applyAlignment="1">
      <alignment horizontal="center"/>
    </xf>
    <xf numFmtId="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" fontId="1" fillId="0" borderId="25" xfId="0" applyNumberFormat="1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2" fontId="1" fillId="0" borderId="25" xfId="0" applyNumberFormat="1" applyFont="1" applyBorder="1" applyAlignment="1">
      <alignment horizontal="center"/>
    </xf>
    <xf numFmtId="2" fontId="1" fillId="0" borderId="26" xfId="0" applyNumberFormat="1" applyFont="1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6" fillId="0" borderId="35" xfId="0" applyFont="1" applyBorder="1" applyAlignment="1">
      <alignment horizontal="center" vertical="center"/>
    </xf>
    <xf numFmtId="0" fontId="26" fillId="0" borderId="36" xfId="0" applyFont="1" applyBorder="1" applyAlignment="1">
      <alignment horizontal="center" vertical="center"/>
    </xf>
    <xf numFmtId="0" fontId="26" fillId="0" borderId="37" xfId="0" applyFont="1" applyBorder="1" applyAlignment="1">
      <alignment horizontal="center" vertical="center"/>
    </xf>
    <xf numFmtId="0" fontId="3" fillId="3" borderId="13" xfId="0" applyFont="1" applyFill="1" applyBorder="1"/>
    <xf numFmtId="0" fontId="3" fillId="0" borderId="0" xfId="0" applyFont="1" applyAlignment="1">
      <alignment horizontal="left" vertical="center"/>
    </xf>
    <xf numFmtId="0" fontId="27" fillId="0" borderId="0" xfId="0" applyFont="1" applyAlignment="1">
      <alignment wrapText="1"/>
    </xf>
    <xf numFmtId="0" fontId="3" fillId="0" borderId="14" xfId="0" applyFont="1" applyBorder="1"/>
    <xf numFmtId="0" fontId="3" fillId="5" borderId="13" xfId="0" applyFont="1" applyFill="1" applyBorder="1"/>
    <xf numFmtId="0" fontId="3" fillId="6" borderId="13" xfId="0" applyFont="1" applyFill="1" applyBorder="1"/>
    <xf numFmtId="0" fontId="28" fillId="0" borderId="13" xfId="0" applyFont="1" applyBorder="1"/>
    <xf numFmtId="0" fontId="3" fillId="0" borderId="13" xfId="0" applyFont="1" applyBorder="1"/>
    <xf numFmtId="0" fontId="3" fillId="4" borderId="3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right" vertical="center"/>
    </xf>
    <xf numFmtId="0" fontId="3" fillId="3" borderId="3" xfId="0" applyFont="1" applyFill="1" applyBorder="1" applyAlignment="1">
      <alignment horizontal="center"/>
    </xf>
    <xf numFmtId="0" fontId="3" fillId="0" borderId="3" xfId="0" applyFont="1" applyBorder="1"/>
    <xf numFmtId="0" fontId="27" fillId="7" borderId="3" xfId="0" applyFont="1" applyFill="1" applyBorder="1" applyAlignment="1">
      <alignment wrapText="1"/>
    </xf>
    <xf numFmtId="0" fontId="8" fillId="0" borderId="3" xfId="0" applyFont="1" applyBorder="1" applyAlignment="1">
      <alignment horizontal="right" vertical="center"/>
    </xf>
    <xf numFmtId="0" fontId="8" fillId="3" borderId="3" xfId="0" applyFont="1" applyFill="1" applyBorder="1" applyAlignment="1">
      <alignment horizontal="center"/>
    </xf>
    <xf numFmtId="0" fontId="8" fillId="0" borderId="3" xfId="0" applyFont="1" applyBorder="1" applyAlignment="1">
      <alignment horizontal="left" vertical="center"/>
    </xf>
    <xf numFmtId="0" fontId="3" fillId="3" borderId="3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0" borderId="3" xfId="0" applyFont="1" applyBorder="1"/>
    <xf numFmtId="168" fontId="3" fillId="6" borderId="5" xfId="0" applyNumberFormat="1" applyFont="1" applyFill="1" applyBorder="1" applyAlignment="1">
      <alignment horizontal="center" vertical="center"/>
    </xf>
    <xf numFmtId="168" fontId="3" fillId="6" borderId="16" xfId="0" applyNumberFormat="1" applyFont="1" applyFill="1" applyBorder="1" applyAlignment="1">
      <alignment horizontal="center" vertical="center"/>
    </xf>
    <xf numFmtId="0" fontId="30" fillId="0" borderId="0" xfId="0" applyFont="1"/>
    <xf numFmtId="0" fontId="3" fillId="0" borderId="0" xfId="0" applyFont="1" applyAlignment="1">
      <alignment horizontal="left" vertical="center"/>
    </xf>
    <xf numFmtId="0" fontId="31" fillId="5" borderId="0" xfId="0" applyFont="1" applyFill="1" applyAlignment="1">
      <alignment horizontal="left" vertical="center" wrapText="1"/>
    </xf>
    <xf numFmtId="0" fontId="32" fillId="5" borderId="0" xfId="0" applyFont="1" applyFill="1" applyAlignment="1">
      <alignment horizontal="left" vertical="center" wrapText="1"/>
    </xf>
    <xf numFmtId="0" fontId="32" fillId="5" borderId="0" xfId="0" applyFont="1" applyFill="1" applyAlignment="1">
      <alignment horizontal="left" vertical="center" wrapText="1"/>
    </xf>
    <xf numFmtId="0" fontId="32" fillId="5" borderId="0" xfId="0" applyFont="1" applyFill="1" applyAlignment="1">
      <alignment horizontal="left" vertical="center"/>
    </xf>
    <xf numFmtId="0" fontId="32" fillId="5" borderId="0" xfId="0" applyFont="1" applyFill="1" applyAlignment="1">
      <alignment horizontal="left" vertical="center"/>
    </xf>
    <xf numFmtId="0" fontId="3" fillId="0" borderId="12" xfId="0" applyFont="1" applyBorder="1"/>
    <xf numFmtId="0" fontId="8" fillId="4" borderId="3" xfId="0" applyFont="1" applyFill="1" applyBorder="1" applyAlignment="1">
      <alignment horizontal="left"/>
    </xf>
    <xf numFmtId="0" fontId="8" fillId="4" borderId="3" xfId="0" applyFont="1" applyFill="1" applyBorder="1" applyAlignment="1">
      <alignment vertical="center"/>
    </xf>
    <xf numFmtId="0" fontId="3" fillId="4" borderId="3" xfId="0" applyFont="1" applyFill="1" applyBorder="1" applyAlignment="1">
      <alignment vertical="center"/>
    </xf>
    <xf numFmtId="0" fontId="27" fillId="4" borderId="3" xfId="0" applyFont="1" applyFill="1" applyBorder="1" applyAlignment="1">
      <alignment vertical="center" wrapText="1"/>
    </xf>
    <xf numFmtId="0" fontId="27" fillId="4" borderId="3" xfId="0" applyFont="1" applyFill="1" applyBorder="1" applyAlignment="1">
      <alignment vertical="center"/>
    </xf>
    <xf numFmtId="0" fontId="27" fillId="7" borderId="3" xfId="0" applyFont="1" applyFill="1" applyBorder="1"/>
    <xf numFmtId="0" fontId="27" fillId="4" borderId="3" xfId="0" applyFont="1" applyFill="1" applyBorder="1" applyAlignment="1">
      <alignment horizontal="center" vertical="center"/>
    </xf>
    <xf numFmtId="0" fontId="27" fillId="7" borderId="3" xfId="0" applyFont="1" applyFill="1" applyBorder="1" applyAlignment="1">
      <alignment horizontal="left" vertical="top" wrapText="1"/>
    </xf>
    <xf numFmtId="0" fontId="27" fillId="7" borderId="3" xfId="0" applyFont="1" applyFill="1" applyBorder="1" applyAlignment="1">
      <alignment vertical="top" wrapText="1"/>
    </xf>
  </cellXfs>
  <cellStyles count="3">
    <cellStyle name="Hipersaite" xfId="1" builtinId="8"/>
    <cellStyle name="Parasts" xfId="0" builtinId="0"/>
    <cellStyle name="Procenti" xfId="2" builtinId="5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microsoft.com/office/2017/10/relationships/person" Target="persons/perso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6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lv-LV"/>
              <a:t>Siltumenerģijas izmaksas,</a:t>
            </a:r>
            <a:r>
              <a:rPr lang="lv-LV" baseline="0"/>
              <a:t> EUR/gadā</a:t>
            </a:r>
            <a:endParaRPr lang="lv-LV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6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lv-LV"/>
        </a:p>
      </c:txPr>
    </c:title>
    <c:autoTitleDeleted val="0"/>
    <c:plotArea>
      <c:layout>
        <c:manualLayout>
          <c:layoutTarget val="inner"/>
          <c:xMode val="edge"/>
          <c:yMode val="edge"/>
          <c:x val="6.3147888332140301E-2"/>
          <c:y val="7.3830966600929429E-2"/>
          <c:w val="0.92071858744929613"/>
          <c:h val="0.81462130564629731"/>
        </c:manualLayout>
      </c:layout>
      <c:barChart>
        <c:barDir val="col"/>
        <c:grouping val="stacked"/>
        <c:varyColors val="0"/>
        <c:ser>
          <c:idx val="0"/>
          <c:order val="0"/>
          <c:tx>
            <c:v>Iekārtas izmaksas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'Ekon.apr.dati'!$B$6:$I$6</c:f>
              <c:strCache>
                <c:ptCount val="6"/>
                <c:pt idx="0">
                  <c:v>Centralizētā siltumapgāde</c:v>
                </c:pt>
                <c:pt idx="1">
                  <c:v>Siltumsūknis gaiss-ūdens</c:v>
                </c:pt>
                <c:pt idx="2">
                  <c:v>Siltumsūknis zeme-ūdens</c:v>
                </c:pt>
                <c:pt idx="3">
                  <c:v>Granulas</c:v>
                </c:pt>
                <c:pt idx="4">
                  <c:v>Dabasgāze</c:v>
                </c:pt>
                <c:pt idx="5">
                  <c:v>Sašķidrinātā naftas gāze</c:v>
                </c:pt>
              </c:strCache>
            </c:strRef>
          </c:cat>
          <c:val>
            <c:numRef>
              <c:f>'Ekon.apr.dati'!$B$14:$I$14</c:f>
              <c:numCache>
                <c:formatCode>#\ ##0\ "€"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030-4C0C-85B2-B77271ABF4D3}"/>
            </c:ext>
          </c:extLst>
        </c:ser>
        <c:ser>
          <c:idx val="1"/>
          <c:order val="1"/>
          <c:tx>
            <c:v>Kurināmais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'Ekon.apr.dati'!$B$6:$I$6</c:f>
              <c:strCache>
                <c:ptCount val="6"/>
                <c:pt idx="0">
                  <c:v>Centralizētā siltumapgāde</c:v>
                </c:pt>
                <c:pt idx="1">
                  <c:v>Siltumsūknis gaiss-ūdens</c:v>
                </c:pt>
                <c:pt idx="2">
                  <c:v>Siltumsūknis zeme-ūdens</c:v>
                </c:pt>
                <c:pt idx="3">
                  <c:v>Granulas</c:v>
                </c:pt>
                <c:pt idx="4">
                  <c:v>Dabasgāze</c:v>
                </c:pt>
                <c:pt idx="5">
                  <c:v>Sašķidrinātā naftas gāze</c:v>
                </c:pt>
              </c:strCache>
            </c:strRef>
          </c:cat>
          <c:val>
            <c:numRef>
              <c:f>'Ekon.apr.dati'!$B$22:$I$22</c:f>
              <c:numCache>
                <c:formatCode>#\ ##0\ "€"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030-4C0C-85B2-B77271ABF4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17065384"/>
        <c:axId val="617068664"/>
      </c:barChart>
      <c:catAx>
        <c:axId val="617065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617068664"/>
        <c:crosses val="autoZero"/>
        <c:auto val="1"/>
        <c:lblAlgn val="ctr"/>
        <c:lblOffset val="100"/>
        <c:noMultiLvlLbl val="0"/>
      </c:catAx>
      <c:valAx>
        <c:axId val="617068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lv-LV"/>
                  <a:t>Siltumenerģijas izmaksas, EUR/gadā</a:t>
                </a:r>
              </a:p>
            </c:rich>
          </c:tx>
          <c:layout>
            <c:manualLayout>
              <c:xMode val="edge"/>
              <c:yMode val="edge"/>
              <c:x val="4.53104271057027E-3"/>
              <c:y val="0.1881707867350237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lv-LV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61706538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5682534084442277"/>
          <c:y val="0.13566125440645638"/>
          <c:w val="0.18801699659665305"/>
          <c:h val="0.1152921035217552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lv-LV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50">
          <a:solidFill>
            <a:schemeClr val="tx1"/>
          </a:solidFill>
        </a:defRPr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v-LV"/>
              <a:t>Granulas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wer"/>
            <c:dispRSqr val="1"/>
            <c:dispEq val="1"/>
            <c:trendlineLbl>
              <c:layout>
                <c:manualLayout>
                  <c:x val="2.853280839895013E-2"/>
                  <c:y val="-0.1682261592300962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v-LV"/>
                </a:p>
              </c:txPr>
            </c:trendlineLbl>
          </c:trendline>
          <c:xVal>
            <c:numRef>
              <c:f>'Izejas datu lapa'!$J$65:$J$68</c:f>
              <c:numCache>
                <c:formatCode>General</c:formatCode>
                <c:ptCount val="4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50</c:v>
                </c:pt>
              </c:numCache>
            </c:numRef>
          </c:xVal>
          <c:yVal>
            <c:numRef>
              <c:f>'Izejas datu lapa'!$M$65:$M$68</c:f>
              <c:numCache>
                <c:formatCode>General</c:formatCode>
                <c:ptCount val="4"/>
                <c:pt idx="0">
                  <c:v>400</c:v>
                </c:pt>
                <c:pt idx="1">
                  <c:v>225</c:v>
                </c:pt>
                <c:pt idx="2">
                  <c:v>166.66666666666666</c:v>
                </c:pt>
                <c:pt idx="3">
                  <c:v>130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0FE-4C7C-9E83-5A54207DD5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4074312"/>
        <c:axId val="674075032"/>
      </c:scatterChart>
      <c:valAx>
        <c:axId val="6740743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674075032"/>
        <c:crosses val="autoZero"/>
        <c:crossBetween val="midCat"/>
      </c:valAx>
      <c:valAx>
        <c:axId val="674075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67407431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v-LV"/>
              <a:t>Malka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wer"/>
            <c:dispRSqr val="1"/>
            <c:dispEq val="1"/>
            <c:trendlineLbl>
              <c:layout>
                <c:manualLayout>
                  <c:x val="2.853280839895013E-2"/>
                  <c:y val="-0.1682261592300962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v-LV"/>
                </a:p>
              </c:txPr>
            </c:trendlineLbl>
          </c:trendline>
          <c:xVal>
            <c:numRef>
              <c:f>'Izejas datu lapa'!$J$65:$J$68</c:f>
              <c:numCache>
                <c:formatCode>General</c:formatCode>
                <c:ptCount val="4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50</c:v>
                </c:pt>
              </c:numCache>
            </c:numRef>
          </c:xVal>
          <c:yVal>
            <c:numRef>
              <c:f>'Izejas datu lapa'!$N$65:$N$68</c:f>
              <c:numCache>
                <c:formatCode>General</c:formatCode>
                <c:ptCount val="4"/>
                <c:pt idx="0">
                  <c:v>120</c:v>
                </c:pt>
                <c:pt idx="1">
                  <c:v>85</c:v>
                </c:pt>
                <c:pt idx="2">
                  <c:v>66.666666666666671</c:v>
                </c:pt>
                <c:pt idx="3">
                  <c:v>50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C2F-459C-8B37-70183CA8CE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4074312"/>
        <c:axId val="674075032"/>
      </c:scatterChart>
      <c:valAx>
        <c:axId val="6740743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674075032"/>
        <c:crosses val="autoZero"/>
        <c:crossBetween val="midCat"/>
      </c:valAx>
      <c:valAx>
        <c:axId val="674075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67407431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v-LV"/>
              <a:t>zeme - ūdens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wer"/>
            <c:dispRSqr val="1"/>
            <c:dispEq val="1"/>
            <c:trendlineLbl>
              <c:layout>
                <c:manualLayout>
                  <c:x val="2.853280839895013E-2"/>
                  <c:y val="-0.1682261592300962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v-LV"/>
                </a:p>
              </c:txPr>
            </c:trendlineLbl>
          </c:trendline>
          <c:xVal>
            <c:numRef>
              <c:f>'Izejas datu lapa'!$J$65:$J$68</c:f>
              <c:numCache>
                <c:formatCode>General</c:formatCode>
                <c:ptCount val="4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50</c:v>
                </c:pt>
              </c:numCache>
            </c:numRef>
          </c:xVal>
          <c:yVal>
            <c:numRef>
              <c:f>'Izejas datu lapa'!$O$65:$O$68</c:f>
              <c:numCache>
                <c:formatCode>General</c:formatCode>
                <c:ptCount val="4"/>
                <c:pt idx="0">
                  <c:v>650</c:v>
                </c:pt>
                <c:pt idx="1">
                  <c:v>402.5</c:v>
                </c:pt>
                <c:pt idx="2">
                  <c:v>293.33333333333331</c:v>
                </c:pt>
                <c:pt idx="3">
                  <c:v>190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A27-40D8-AC6E-1620B2FCF8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4074312"/>
        <c:axId val="674075032"/>
      </c:scatterChart>
      <c:valAx>
        <c:axId val="6740743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674075032"/>
        <c:crosses val="autoZero"/>
        <c:crossBetween val="midCat"/>
      </c:valAx>
      <c:valAx>
        <c:axId val="674075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67407431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v-LV"/>
              <a:t>dabasgāze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2.7213053498561811E-2"/>
                  <c:y val="-0.15672810206805787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v-LV"/>
                </a:p>
              </c:txPr>
            </c:trendlineLbl>
          </c:trendline>
          <c:xVal>
            <c:numRef>
              <c:f>'Izejas datu lapa'!$F$88:$F$91</c:f>
              <c:numCache>
                <c:formatCode>General</c:formatCode>
                <c:ptCount val="4"/>
                <c:pt idx="0">
                  <c:v>15</c:v>
                </c:pt>
                <c:pt idx="1">
                  <c:v>24</c:v>
                </c:pt>
                <c:pt idx="2">
                  <c:v>33</c:v>
                </c:pt>
                <c:pt idx="3">
                  <c:v>39.9</c:v>
                </c:pt>
              </c:numCache>
            </c:numRef>
          </c:xVal>
          <c:yVal>
            <c:numRef>
              <c:f>'Izejas datu lapa'!$I$88:$I$91</c:f>
              <c:numCache>
                <c:formatCode>General</c:formatCode>
                <c:ptCount val="4"/>
                <c:pt idx="0">
                  <c:v>78.400000000000006</c:v>
                </c:pt>
                <c:pt idx="1">
                  <c:v>55.5</c:v>
                </c:pt>
                <c:pt idx="2">
                  <c:v>58.787878787878789</c:v>
                </c:pt>
                <c:pt idx="3">
                  <c:v>56.466165413533837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DA5-4F34-ABBE-73B45073DA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4074312"/>
        <c:axId val="674075032"/>
      </c:scatterChart>
      <c:valAx>
        <c:axId val="6740743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674075032"/>
        <c:crosses val="autoZero"/>
        <c:crossBetween val="midCat"/>
      </c:valAx>
      <c:valAx>
        <c:axId val="674075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67407431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v-LV"/>
              <a:t>zeme - ūdens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wer"/>
            <c:dispRSqr val="1"/>
            <c:dispEq val="1"/>
            <c:trendlineLbl>
              <c:layout>
                <c:manualLayout>
                  <c:x val="2.853280839895013E-2"/>
                  <c:y val="-0.1682261592300962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v-LV"/>
                </a:p>
              </c:txPr>
            </c:trendlineLbl>
          </c:trendline>
          <c:xVal>
            <c:numRef>
              <c:f>'Izejas datu lapa'!$J$78:$J$81</c:f>
              <c:numCache>
                <c:formatCode>General</c:formatCode>
                <c:ptCount val="4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50</c:v>
                </c:pt>
              </c:numCache>
            </c:numRef>
          </c:xVal>
          <c:yVal>
            <c:numRef>
              <c:f>'Izejas datu lapa'!$O$78:$O$81</c:f>
              <c:numCache>
                <c:formatCode>General</c:formatCode>
                <c:ptCount val="4"/>
                <c:pt idx="0">
                  <c:v>120</c:v>
                </c:pt>
                <c:pt idx="1">
                  <c:v>75</c:v>
                </c:pt>
                <c:pt idx="2">
                  <c:v>63.333333333333336</c:v>
                </c:pt>
                <c:pt idx="3">
                  <c:v>50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CC3-49A1-B8AB-B735150588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4074312"/>
        <c:axId val="674075032"/>
      </c:scatterChart>
      <c:valAx>
        <c:axId val="6740743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674075032"/>
        <c:crosses val="autoZero"/>
        <c:crossBetween val="midCat"/>
      </c:valAx>
      <c:valAx>
        <c:axId val="674075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67407431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v-LV"/>
              <a:t>Gaiss - ūdens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wer"/>
            <c:dispRSqr val="1"/>
            <c:dispEq val="1"/>
            <c:trendlineLbl>
              <c:layout>
                <c:manualLayout>
                  <c:x val="2.853280839895013E-2"/>
                  <c:y val="-0.1682261592300962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v-LV"/>
                </a:p>
              </c:txPr>
            </c:trendlineLbl>
          </c:trendline>
          <c:xVal>
            <c:numRef>
              <c:f>'Izejas datu lapa'!$J$78:$J$81</c:f>
              <c:numCache>
                <c:formatCode>General</c:formatCode>
                <c:ptCount val="4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50</c:v>
                </c:pt>
              </c:numCache>
            </c:numRef>
          </c:xVal>
          <c:yVal>
            <c:numRef>
              <c:f>'Izejas datu lapa'!$P$78:$P$81</c:f>
              <c:numCache>
                <c:formatCode>General</c:formatCode>
                <c:ptCount val="4"/>
                <c:pt idx="0">
                  <c:v>100</c:v>
                </c:pt>
                <c:pt idx="1">
                  <c:v>60</c:v>
                </c:pt>
                <c:pt idx="2">
                  <c:v>50</c:v>
                </c:pt>
                <c:pt idx="3">
                  <c:v>40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8B6-4DA0-B000-44DBE4352F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4074312"/>
        <c:axId val="674075032"/>
      </c:scatterChart>
      <c:valAx>
        <c:axId val="6740743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674075032"/>
        <c:crosses val="autoZero"/>
        <c:crossBetween val="midCat"/>
      </c:valAx>
      <c:valAx>
        <c:axId val="674075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67407431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v-LV"/>
              <a:t>Granulas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wer"/>
            <c:dispRSqr val="1"/>
            <c:dispEq val="1"/>
            <c:trendlineLbl>
              <c:layout>
                <c:manualLayout>
                  <c:x val="2.853280839895013E-2"/>
                  <c:y val="-0.1682261592300962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v-LV"/>
                </a:p>
              </c:txPr>
            </c:trendlineLbl>
          </c:trendline>
          <c:xVal>
            <c:numRef>
              <c:f>'Izejas datu lapa'!$J$78:$J$81</c:f>
              <c:numCache>
                <c:formatCode>General</c:formatCode>
                <c:ptCount val="4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50</c:v>
                </c:pt>
              </c:numCache>
            </c:numRef>
          </c:xVal>
          <c:yVal>
            <c:numRef>
              <c:f>'Izejas datu lapa'!$M$78:$M$81</c:f>
              <c:numCache>
                <c:formatCode>General</c:formatCode>
                <c:ptCount val="4"/>
                <c:pt idx="0">
                  <c:v>50</c:v>
                </c:pt>
                <c:pt idx="1">
                  <c:v>35</c:v>
                </c:pt>
                <c:pt idx="2">
                  <c:v>30</c:v>
                </c:pt>
                <c:pt idx="3">
                  <c:v>22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7D5-425C-9BB6-7AC06FB32F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4074312"/>
        <c:axId val="674075032"/>
      </c:scatterChart>
      <c:valAx>
        <c:axId val="6740743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674075032"/>
        <c:crosses val="autoZero"/>
        <c:crossBetween val="midCat"/>
      </c:valAx>
      <c:valAx>
        <c:axId val="674075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67407431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v-LV"/>
              <a:t>Briketes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wer"/>
            <c:dispRSqr val="1"/>
            <c:dispEq val="1"/>
            <c:trendlineLbl>
              <c:layout>
                <c:manualLayout>
                  <c:x val="2.853280839895013E-2"/>
                  <c:y val="-0.1682261592300962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v-LV"/>
                </a:p>
              </c:txPr>
            </c:trendlineLbl>
          </c:trendline>
          <c:xVal>
            <c:numRef>
              <c:f>'Izejas datu lapa'!$J$78:$J$81</c:f>
              <c:numCache>
                <c:formatCode>General</c:formatCode>
                <c:ptCount val="4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50</c:v>
                </c:pt>
              </c:numCache>
            </c:numRef>
          </c:xVal>
          <c:yVal>
            <c:numRef>
              <c:f>'Izejas datu lapa'!$L$78:$L$81</c:f>
              <c:numCache>
                <c:formatCode>General</c:formatCode>
                <c:ptCount val="4"/>
                <c:pt idx="0">
                  <c:v>50</c:v>
                </c:pt>
                <c:pt idx="1">
                  <c:v>35</c:v>
                </c:pt>
                <c:pt idx="2">
                  <c:v>30</c:v>
                </c:pt>
                <c:pt idx="3">
                  <c:v>22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D87-4649-A3AD-C5F9ABADE5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4074312"/>
        <c:axId val="674075032"/>
      </c:scatterChart>
      <c:valAx>
        <c:axId val="6740743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674075032"/>
        <c:crosses val="autoZero"/>
        <c:crossBetween val="midCat"/>
      </c:valAx>
      <c:valAx>
        <c:axId val="674075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67407431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v-LV"/>
              <a:t>Malka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wer"/>
            <c:dispRSqr val="1"/>
            <c:dispEq val="1"/>
            <c:trendlineLbl>
              <c:layout>
                <c:manualLayout>
                  <c:x val="2.853280839895013E-2"/>
                  <c:y val="-0.1682261592300962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v-LV"/>
                </a:p>
              </c:txPr>
            </c:trendlineLbl>
          </c:trendline>
          <c:xVal>
            <c:numRef>
              <c:f>'Izejas datu lapa'!$J$78:$J$81</c:f>
              <c:numCache>
                <c:formatCode>General</c:formatCode>
                <c:ptCount val="4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50</c:v>
                </c:pt>
              </c:numCache>
            </c:numRef>
          </c:xVal>
          <c:yVal>
            <c:numRef>
              <c:f>'Izejas datu lapa'!$N$78:$N$81</c:f>
              <c:numCache>
                <c:formatCode>General</c:formatCode>
                <c:ptCount val="4"/>
                <c:pt idx="0">
                  <c:v>50</c:v>
                </c:pt>
                <c:pt idx="1">
                  <c:v>35</c:v>
                </c:pt>
                <c:pt idx="2">
                  <c:v>30</c:v>
                </c:pt>
                <c:pt idx="3">
                  <c:v>22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A64-4EB4-8216-6F4470E7B6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4074312"/>
        <c:axId val="674075032"/>
      </c:scatterChart>
      <c:valAx>
        <c:axId val="6740743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674075032"/>
        <c:crosses val="autoZero"/>
        <c:crossBetween val="midCat"/>
      </c:valAx>
      <c:valAx>
        <c:axId val="674075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67407431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v-LV"/>
              <a:t>dabasgāze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2.7213053498561811E-2"/>
                  <c:y val="-0.15672810206805787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v-LV"/>
                </a:p>
              </c:txPr>
            </c:trendlineLbl>
          </c:trendline>
          <c:xVal>
            <c:numRef>
              <c:f>'Izejas datu lapa'!$F$88:$F$91</c:f>
              <c:numCache>
                <c:formatCode>General</c:formatCode>
                <c:ptCount val="4"/>
                <c:pt idx="0">
                  <c:v>15</c:v>
                </c:pt>
                <c:pt idx="1">
                  <c:v>24</c:v>
                </c:pt>
                <c:pt idx="2">
                  <c:v>33</c:v>
                </c:pt>
                <c:pt idx="3">
                  <c:v>39.9</c:v>
                </c:pt>
              </c:numCache>
            </c:numRef>
          </c:xVal>
          <c:yVal>
            <c:numRef>
              <c:f>'Izejas datu lapa'!$K$88:$K$91</c:f>
              <c:numCache>
                <c:formatCode>General</c:formatCode>
                <c:ptCount val="4"/>
                <c:pt idx="0">
                  <c:v>33.333333333333336</c:v>
                </c:pt>
                <c:pt idx="1">
                  <c:v>29.166666666666668</c:v>
                </c:pt>
                <c:pt idx="2">
                  <c:v>27.272727272727273</c:v>
                </c:pt>
                <c:pt idx="3">
                  <c:v>27.568922305764413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C11-4E53-894D-B546F9BB7D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4074312"/>
        <c:axId val="674075032"/>
      </c:scatterChart>
      <c:valAx>
        <c:axId val="6740743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674075032"/>
        <c:crosses val="autoZero"/>
        <c:crossBetween val="midCat"/>
      </c:valAx>
      <c:valAx>
        <c:axId val="674075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67407431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6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lv-LV"/>
              <a:t>Siltumenerģijas tarifs,</a:t>
            </a:r>
            <a:r>
              <a:rPr lang="lv-LV" baseline="0"/>
              <a:t> EUR/MWh</a:t>
            </a:r>
            <a:endParaRPr lang="lv-LV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6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lv-LV"/>
        </a:p>
      </c:txPr>
    </c:title>
    <c:autoTitleDeleted val="0"/>
    <c:plotArea>
      <c:layout>
        <c:manualLayout>
          <c:layoutTarget val="inner"/>
          <c:xMode val="edge"/>
          <c:yMode val="edge"/>
          <c:x val="7.6482632808160617E-2"/>
          <c:y val="7.3830966600929429E-2"/>
          <c:w val="0.9073838433532716"/>
          <c:h val="0.81462130564629731"/>
        </c:manualLayout>
      </c:layout>
      <c:barChart>
        <c:barDir val="col"/>
        <c:grouping val="stacked"/>
        <c:varyColors val="0"/>
        <c:ser>
          <c:idx val="1"/>
          <c:order val="0"/>
          <c:tx>
            <c:v>Iekārtas izmaksas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'Ekon.apr.dati'!$B$6:$I$6</c:f>
              <c:strCache>
                <c:ptCount val="6"/>
                <c:pt idx="0">
                  <c:v>Centralizētā siltumapgāde</c:v>
                </c:pt>
                <c:pt idx="1">
                  <c:v>Siltumsūknis gaiss-ūdens</c:v>
                </c:pt>
                <c:pt idx="2">
                  <c:v>Siltumsūknis zeme-ūdens</c:v>
                </c:pt>
                <c:pt idx="3">
                  <c:v>Granulas</c:v>
                </c:pt>
                <c:pt idx="4">
                  <c:v>Dabasgāze</c:v>
                </c:pt>
                <c:pt idx="5">
                  <c:v>Sašķidrinātā naftas gāze</c:v>
                </c:pt>
              </c:strCache>
            </c:strRef>
          </c:cat>
          <c:val>
            <c:numRef>
              <c:f>'Ekon.apr.dati'!$B$27:$I$27</c:f>
              <c:numCache>
                <c:formatCode>#\ ##0\ "€"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961-4C17-87B1-0236D78AF72D}"/>
            </c:ext>
          </c:extLst>
        </c:ser>
        <c:ser>
          <c:idx val="0"/>
          <c:order val="1"/>
          <c:tx>
            <c:v>Kurināmā izmaksas, EUR/MWh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'Ekon.apr.dati'!$B$28:$I$28</c:f>
              <c:numCache>
                <c:formatCode>#\ ##0\ "€"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961-4C17-87B1-0236D78AF7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17065384"/>
        <c:axId val="617068664"/>
      </c:barChart>
      <c:catAx>
        <c:axId val="617065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617068664"/>
        <c:crosses val="autoZero"/>
        <c:auto val="1"/>
        <c:lblAlgn val="ctr"/>
        <c:lblOffset val="100"/>
        <c:noMultiLvlLbl val="0"/>
      </c:catAx>
      <c:valAx>
        <c:axId val="617068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lv-LV"/>
                  <a:t>Siltumenerģijas izmaksas, EUR/MWh</a:t>
                </a:r>
              </a:p>
            </c:rich>
          </c:tx>
          <c:layout>
            <c:manualLayout>
              <c:xMode val="edge"/>
              <c:yMode val="edge"/>
              <c:x val="4.53104271057027E-3"/>
              <c:y val="0.1881707867350237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lv-LV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61706538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7294768895350019"/>
          <c:y val="9.6400971589698306E-2"/>
          <c:w val="0.19690680600443816"/>
          <c:h val="0.1152921035217552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lv-LV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50">
          <a:solidFill>
            <a:schemeClr val="tx1"/>
          </a:solidFill>
        </a:defRPr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16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v-LV"/>
              <a:t>Īpatnējās izmaksas</a:t>
            </a:r>
            <a:r>
              <a:rPr lang="lv-LV" baseline="0"/>
              <a:t> gaiss-ūdens</a:t>
            </a:r>
            <a:endParaRPr lang="lv-LV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16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title>
    <c:autoTitleDeleted val="0"/>
    <c:plotArea>
      <c:layout>
        <c:manualLayout>
          <c:layoutTarget val="inner"/>
          <c:xMode val="edge"/>
          <c:yMode val="edge"/>
          <c:x val="0.13439178038708505"/>
          <c:y val="0.11730288536759371"/>
          <c:w val="0.83394956436263956"/>
          <c:h val="0.72849580291793214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wer"/>
            <c:dispRSqr val="1"/>
            <c:dispEq val="1"/>
            <c:trendlineLbl>
              <c:layout>
                <c:manualLayout>
                  <c:x val="-4.8804103220638065E-2"/>
                  <c:y val="-0.42023344374144667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8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v-LV"/>
                </a:p>
              </c:txPr>
            </c:trendlineLbl>
          </c:trendline>
          <c:xVal>
            <c:numRef>
              <c:f>'Gaiss-ūdens'!$B$3:$B$30</c:f>
              <c:numCache>
                <c:formatCode>General</c:formatCode>
                <c:ptCount val="28"/>
                <c:pt idx="0">
                  <c:v>4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9</c:v>
                </c:pt>
                <c:pt idx="11">
                  <c:v>9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10.6</c:v>
                </c:pt>
                <c:pt idx="16">
                  <c:v>12</c:v>
                </c:pt>
                <c:pt idx="17">
                  <c:v>12</c:v>
                </c:pt>
                <c:pt idx="18">
                  <c:v>14</c:v>
                </c:pt>
                <c:pt idx="19">
                  <c:v>14</c:v>
                </c:pt>
                <c:pt idx="20">
                  <c:v>16</c:v>
                </c:pt>
                <c:pt idx="21">
                  <c:v>16</c:v>
                </c:pt>
                <c:pt idx="22">
                  <c:v>16</c:v>
                </c:pt>
                <c:pt idx="23">
                  <c:v>16</c:v>
                </c:pt>
                <c:pt idx="24">
                  <c:v>16</c:v>
                </c:pt>
                <c:pt idx="25">
                  <c:v>19</c:v>
                </c:pt>
                <c:pt idx="26">
                  <c:v>27</c:v>
                </c:pt>
                <c:pt idx="27">
                  <c:v>32</c:v>
                </c:pt>
              </c:numCache>
            </c:numRef>
          </c:xVal>
          <c:yVal>
            <c:numRef>
              <c:f>'Gaiss-ūdens'!$I$3:$I$30</c:f>
              <c:numCache>
                <c:formatCode>0</c:formatCode>
                <c:ptCount val="28"/>
                <c:pt idx="0">
                  <c:v>1498.635</c:v>
                </c:pt>
                <c:pt idx="1">
                  <c:v>1357.5</c:v>
                </c:pt>
                <c:pt idx="2">
                  <c:v>977.5</c:v>
                </c:pt>
                <c:pt idx="3">
                  <c:v>1589.83</c:v>
                </c:pt>
                <c:pt idx="4">
                  <c:v>1015.0549999999999</c:v>
                </c:pt>
                <c:pt idx="5">
                  <c:v>1157</c:v>
                </c:pt>
                <c:pt idx="6">
                  <c:v>992.5</c:v>
                </c:pt>
                <c:pt idx="7">
                  <c:v>1096.875</c:v>
                </c:pt>
                <c:pt idx="8">
                  <c:v>693.75</c:v>
                </c:pt>
                <c:pt idx="9">
                  <c:v>780.82875000000001</c:v>
                </c:pt>
                <c:pt idx="10">
                  <c:v>1157.0722222222221</c:v>
                </c:pt>
                <c:pt idx="11">
                  <c:v>719.44444444444446</c:v>
                </c:pt>
                <c:pt idx="12">
                  <c:v>1006</c:v>
                </c:pt>
                <c:pt idx="13">
                  <c:v>797</c:v>
                </c:pt>
                <c:pt idx="14">
                  <c:v>650.375</c:v>
                </c:pt>
                <c:pt idx="15">
                  <c:v>1006.2264150943397</c:v>
                </c:pt>
                <c:pt idx="16">
                  <c:v>952.54833333333329</c:v>
                </c:pt>
                <c:pt idx="17">
                  <c:v>652.05583333333334</c:v>
                </c:pt>
                <c:pt idx="18">
                  <c:v>1167.8571428571429</c:v>
                </c:pt>
                <c:pt idx="19">
                  <c:v>576.91071428571433</c:v>
                </c:pt>
                <c:pt idx="20">
                  <c:v>602.5625</c:v>
                </c:pt>
                <c:pt idx="21">
                  <c:v>742.5</c:v>
                </c:pt>
                <c:pt idx="22">
                  <c:v>772.92375000000004</c:v>
                </c:pt>
                <c:pt idx="23">
                  <c:v>491.5625</c:v>
                </c:pt>
                <c:pt idx="24">
                  <c:v>512.67437500000005</c:v>
                </c:pt>
                <c:pt idx="25">
                  <c:v>921.0526315789474</c:v>
                </c:pt>
                <c:pt idx="26">
                  <c:v>870.37037037037032</c:v>
                </c:pt>
                <c:pt idx="27">
                  <c:v>756.25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51E-4CC3-A994-11E1EAB728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15256840"/>
        <c:axId val="715255760"/>
      </c:scatterChart>
      <c:valAx>
        <c:axId val="7152568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accent1">
                  <a:alpha val="96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lv-LV"/>
                  <a:t>kW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lv-LV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715255760"/>
        <c:crosses val="autoZero"/>
        <c:crossBetween val="midCat"/>
      </c:valAx>
      <c:valAx>
        <c:axId val="715255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lv-LV"/>
                  <a:t>EUR/kW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lv-LV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7152568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800"/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16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v-LV"/>
              <a:t>Īpatnējās izmaksas</a:t>
            </a:r>
            <a:r>
              <a:rPr lang="lv-LV" baseline="0"/>
              <a:t> gaiss-ūdens</a:t>
            </a:r>
            <a:endParaRPr lang="lv-LV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16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title>
    <c:autoTitleDeleted val="0"/>
    <c:plotArea>
      <c:layout>
        <c:manualLayout>
          <c:layoutTarget val="inner"/>
          <c:xMode val="edge"/>
          <c:yMode val="edge"/>
          <c:x val="0.13439178038708505"/>
          <c:y val="0.11730288536759371"/>
          <c:w val="0.83394956436263956"/>
          <c:h val="0.7468423801535935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wer"/>
            <c:dispRSqr val="1"/>
            <c:dispEq val="1"/>
            <c:trendlineLbl>
              <c:layout>
                <c:manualLayout>
                  <c:x val="-4.5874351647586575E-2"/>
                  <c:y val="-0.4195772000338371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8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v-LV"/>
                </a:p>
              </c:txPr>
            </c:trendlineLbl>
          </c:trendline>
          <c:xVal>
            <c:numRef>
              <c:f>Granulas!$C$3:$C$41</c:f>
              <c:numCache>
                <c:formatCode>General</c:formatCode>
                <c:ptCount val="39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15</c:v>
                </c:pt>
                <c:pt idx="4">
                  <c:v>25</c:v>
                </c:pt>
                <c:pt idx="5">
                  <c:v>35</c:v>
                </c:pt>
                <c:pt idx="6">
                  <c:v>47</c:v>
                </c:pt>
                <c:pt idx="7">
                  <c:v>13</c:v>
                </c:pt>
                <c:pt idx="8">
                  <c:v>16</c:v>
                </c:pt>
                <c:pt idx="9">
                  <c:v>30</c:v>
                </c:pt>
                <c:pt idx="10">
                  <c:v>50</c:v>
                </c:pt>
                <c:pt idx="11">
                  <c:v>80</c:v>
                </c:pt>
                <c:pt idx="12">
                  <c:v>10</c:v>
                </c:pt>
                <c:pt idx="13">
                  <c:v>16</c:v>
                </c:pt>
                <c:pt idx="14">
                  <c:v>24</c:v>
                </c:pt>
                <c:pt idx="15">
                  <c:v>48</c:v>
                </c:pt>
              </c:numCache>
            </c:numRef>
          </c:xVal>
          <c:yVal>
            <c:numRef>
              <c:f>Granulas!$J$3:$J$41</c:f>
              <c:numCache>
                <c:formatCode>0</c:formatCode>
                <c:ptCount val="39"/>
                <c:pt idx="0">
                  <c:v>359.25</c:v>
                </c:pt>
                <c:pt idx="1">
                  <c:v>254.35466666666667</c:v>
                </c:pt>
                <c:pt idx="2">
                  <c:v>204.54149999999998</c:v>
                </c:pt>
                <c:pt idx="3">
                  <c:v>199.66666666666666</c:v>
                </c:pt>
                <c:pt idx="4">
                  <c:v>137.60040000000001</c:v>
                </c:pt>
                <c:pt idx="5">
                  <c:v>106.85714285714286</c:v>
                </c:pt>
                <c:pt idx="6">
                  <c:v>86.255319148936167</c:v>
                </c:pt>
                <c:pt idx="7">
                  <c:v>326.92307692307691</c:v>
                </c:pt>
                <c:pt idx="8">
                  <c:v>281.25</c:v>
                </c:pt>
                <c:pt idx="9">
                  <c:v>171.66666666666666</c:v>
                </c:pt>
                <c:pt idx="10">
                  <c:v>143.4</c:v>
                </c:pt>
                <c:pt idx="11">
                  <c:v>127.5</c:v>
                </c:pt>
                <c:pt idx="12">
                  <c:v>341.5</c:v>
                </c:pt>
                <c:pt idx="13">
                  <c:v>231.25</c:v>
                </c:pt>
                <c:pt idx="14">
                  <c:v>160</c:v>
                </c:pt>
                <c:pt idx="15">
                  <c:v>127.5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017-48A6-8F8C-079D5D96F8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15256840"/>
        <c:axId val="715255760"/>
      </c:scatterChart>
      <c:valAx>
        <c:axId val="7152568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accent1">
                  <a:alpha val="96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lv-LV"/>
                  <a:t>kW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lv-LV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715255760"/>
        <c:crosses val="autoZero"/>
        <c:crossBetween val="midCat"/>
      </c:valAx>
      <c:valAx>
        <c:axId val="715255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lv-LV"/>
                  <a:t>EUR/kW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lv-LV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7152568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800"/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16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v-LV"/>
              <a:t>Īpatnējās izmaksas</a:t>
            </a:r>
            <a:r>
              <a:rPr lang="lv-LV" baseline="0"/>
              <a:t> gaiss-ūdens</a:t>
            </a:r>
            <a:endParaRPr lang="lv-LV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16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title>
    <c:autoTitleDeleted val="0"/>
    <c:plotArea>
      <c:layout>
        <c:manualLayout>
          <c:layoutTarget val="inner"/>
          <c:xMode val="edge"/>
          <c:yMode val="edge"/>
          <c:x val="0.13439178038708505"/>
          <c:y val="0.11730288536759371"/>
          <c:w val="0.83394956436263956"/>
          <c:h val="0.7468423801535935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wer"/>
            <c:dispRSqr val="1"/>
            <c:dispEq val="1"/>
            <c:trendlineLbl>
              <c:layout>
                <c:manualLayout>
                  <c:x val="-4.5874351647586575E-2"/>
                  <c:y val="-0.4195772000338371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8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v-LV"/>
                </a:p>
              </c:txPr>
            </c:trendlineLbl>
          </c:trendline>
          <c:xVal>
            <c:numRef>
              <c:f>dabasgāze!$C$3:$C$41</c:f>
              <c:numCache>
                <c:formatCode>General</c:formatCode>
                <c:ptCount val="39"/>
                <c:pt idx="0">
                  <c:v>40</c:v>
                </c:pt>
                <c:pt idx="1">
                  <c:v>280</c:v>
                </c:pt>
                <c:pt idx="2">
                  <c:v>28</c:v>
                </c:pt>
                <c:pt idx="3">
                  <c:v>200</c:v>
                </c:pt>
                <c:pt idx="4">
                  <c:v>17.399999999999999</c:v>
                </c:pt>
                <c:pt idx="5">
                  <c:v>28.5</c:v>
                </c:pt>
                <c:pt idx="6">
                  <c:v>24</c:v>
                </c:pt>
                <c:pt idx="7">
                  <c:v>20</c:v>
                </c:pt>
                <c:pt idx="8">
                  <c:v>31</c:v>
                </c:pt>
                <c:pt idx="9">
                  <c:v>41</c:v>
                </c:pt>
                <c:pt idx="10">
                  <c:v>50</c:v>
                </c:pt>
                <c:pt idx="11">
                  <c:v>16.2</c:v>
                </c:pt>
                <c:pt idx="12">
                  <c:v>25.5</c:v>
                </c:pt>
                <c:pt idx="13">
                  <c:v>24</c:v>
                </c:pt>
                <c:pt idx="14">
                  <c:v>20</c:v>
                </c:pt>
              </c:numCache>
            </c:numRef>
          </c:xVal>
          <c:yVal>
            <c:numRef>
              <c:f>dabasgāze!$J$3:$J$41</c:f>
              <c:numCache>
                <c:formatCode>0</c:formatCode>
                <c:ptCount val="39"/>
                <c:pt idx="0">
                  <c:v>63.475000000000001</c:v>
                </c:pt>
                <c:pt idx="1">
                  <c:v>53.210714285714289</c:v>
                </c:pt>
                <c:pt idx="2">
                  <c:v>78.107142857142861</c:v>
                </c:pt>
                <c:pt idx="3">
                  <c:v>57.1</c:v>
                </c:pt>
                <c:pt idx="4">
                  <c:v>75.517241379310349</c:v>
                </c:pt>
                <c:pt idx="5">
                  <c:v>64.877192982456137</c:v>
                </c:pt>
                <c:pt idx="6">
                  <c:v>70.583333333333329</c:v>
                </c:pt>
                <c:pt idx="7">
                  <c:v>123.35</c:v>
                </c:pt>
                <c:pt idx="8">
                  <c:v>85.701935483870969</c:v>
                </c:pt>
                <c:pt idx="9">
                  <c:v>68.270975609756107</c:v>
                </c:pt>
                <c:pt idx="10">
                  <c:v>61.675600000000003</c:v>
                </c:pt>
                <c:pt idx="11">
                  <c:v>91.913580246913583</c:v>
                </c:pt>
                <c:pt idx="12">
                  <c:v>59.607843137254903</c:v>
                </c:pt>
                <c:pt idx="13">
                  <c:v>73.583333333333329</c:v>
                </c:pt>
                <c:pt idx="14">
                  <c:v>109.7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139-4A9C-B6A7-B0B2CA2F8A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15256840"/>
        <c:axId val="715255760"/>
      </c:scatterChart>
      <c:valAx>
        <c:axId val="7152568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accent1">
                  <a:alpha val="96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lv-LV"/>
                  <a:t>kW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lv-LV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715255760"/>
        <c:crosses val="autoZero"/>
        <c:crossBetween val="midCat"/>
      </c:valAx>
      <c:valAx>
        <c:axId val="715255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lv-LV"/>
                  <a:t>EUR/kW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lv-LV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7152568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800"/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16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v-LV"/>
              <a:t>Īpatnējās izmaksas</a:t>
            </a:r>
            <a:r>
              <a:rPr lang="lv-LV" baseline="0"/>
              <a:t> gaiss-ūdens</a:t>
            </a:r>
            <a:endParaRPr lang="lv-LV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16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title>
    <c:autoTitleDeleted val="0"/>
    <c:plotArea>
      <c:layout>
        <c:manualLayout>
          <c:layoutTarget val="inner"/>
          <c:xMode val="edge"/>
          <c:yMode val="edge"/>
          <c:x val="0.13439178038708505"/>
          <c:y val="0.11730288536759371"/>
          <c:w val="0.83394956436263956"/>
          <c:h val="0.72849580291793214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wer"/>
            <c:dispRSqr val="1"/>
            <c:dispEq val="1"/>
            <c:trendlineLbl>
              <c:layout>
                <c:manualLayout>
                  <c:x val="-4.5874351647586575E-2"/>
                  <c:y val="-0.4195772000338371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8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v-LV"/>
                </a:p>
              </c:txPr>
            </c:trendlineLbl>
          </c:trendline>
          <c:xVal>
            <c:numRef>
              <c:f>'Zeme-ūdens'!$C$3:$C$31</c:f>
              <c:numCache>
                <c:formatCode>General</c:formatCode>
                <c:ptCount val="29"/>
              </c:numCache>
            </c:numRef>
          </c:xVal>
          <c:yVal>
            <c:numRef>
              <c:f>'Zeme-ūdens'!$J$3:$J$31</c:f>
              <c:numCache>
                <c:formatCode>0</c:formatCod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D04-4C87-B467-B4F2BB0E17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15256840"/>
        <c:axId val="715255760"/>
      </c:scatterChart>
      <c:valAx>
        <c:axId val="7152568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accent1">
                  <a:alpha val="96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lv-LV"/>
                  <a:t>kW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lv-LV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715255760"/>
        <c:crosses val="autoZero"/>
        <c:crossBetween val="midCat"/>
      </c:valAx>
      <c:valAx>
        <c:axId val="715255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lv-LV"/>
                  <a:t>EUR/kW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lv-LV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7152568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800"/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16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v-LV"/>
              <a:t>Īpatnējās izmaksas</a:t>
            </a:r>
            <a:r>
              <a:rPr lang="lv-LV" baseline="0"/>
              <a:t> gaiss-ūdens</a:t>
            </a:r>
            <a:endParaRPr lang="lv-LV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16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title>
    <c:autoTitleDeleted val="0"/>
    <c:plotArea>
      <c:layout>
        <c:manualLayout>
          <c:layoutTarget val="inner"/>
          <c:xMode val="edge"/>
          <c:yMode val="edge"/>
          <c:x val="0.13439178038708505"/>
          <c:y val="0.11730288536759371"/>
          <c:w val="0.83394956436263956"/>
          <c:h val="0.7468423801535935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wer"/>
            <c:dispRSqr val="1"/>
            <c:dispEq val="1"/>
            <c:trendlineLbl>
              <c:layout>
                <c:manualLayout>
                  <c:x val="-4.5874351647586575E-2"/>
                  <c:y val="-0.4195772000338371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8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v-LV"/>
                </a:p>
              </c:txPr>
            </c:trendlineLbl>
          </c:trendline>
          <c:xVal>
            <c:numRef>
              <c:f>Malkas_katli!$C$3:$C$42</c:f>
              <c:numCache>
                <c:formatCode>General</c:formatCode>
                <c:ptCount val="40"/>
                <c:pt idx="0">
                  <c:v>6</c:v>
                </c:pt>
                <c:pt idx="1">
                  <c:v>8</c:v>
                </c:pt>
                <c:pt idx="2">
                  <c:v>10</c:v>
                </c:pt>
                <c:pt idx="3">
                  <c:v>6</c:v>
                </c:pt>
                <c:pt idx="4">
                  <c:v>8</c:v>
                </c:pt>
                <c:pt idx="5">
                  <c:v>12</c:v>
                </c:pt>
                <c:pt idx="6">
                  <c:v>8</c:v>
                </c:pt>
                <c:pt idx="7">
                  <c:v>12</c:v>
                </c:pt>
                <c:pt idx="8">
                  <c:v>15</c:v>
                </c:pt>
                <c:pt idx="9">
                  <c:v>16</c:v>
                </c:pt>
                <c:pt idx="10">
                  <c:v>12</c:v>
                </c:pt>
                <c:pt idx="11">
                  <c:v>20</c:v>
                </c:pt>
                <c:pt idx="12">
                  <c:v>15</c:v>
                </c:pt>
                <c:pt idx="13">
                  <c:v>25</c:v>
                </c:pt>
                <c:pt idx="14">
                  <c:v>20</c:v>
                </c:pt>
                <c:pt idx="15">
                  <c:v>25</c:v>
                </c:pt>
                <c:pt idx="16">
                  <c:v>20</c:v>
                </c:pt>
                <c:pt idx="17">
                  <c:v>30</c:v>
                </c:pt>
                <c:pt idx="18">
                  <c:v>30</c:v>
                </c:pt>
                <c:pt idx="19">
                  <c:v>40</c:v>
                </c:pt>
                <c:pt idx="20">
                  <c:v>25</c:v>
                </c:pt>
                <c:pt idx="21">
                  <c:v>30</c:v>
                </c:pt>
                <c:pt idx="22">
                  <c:v>40</c:v>
                </c:pt>
                <c:pt idx="23">
                  <c:v>50</c:v>
                </c:pt>
                <c:pt idx="24">
                  <c:v>20</c:v>
                </c:pt>
                <c:pt idx="25">
                  <c:v>25</c:v>
                </c:pt>
                <c:pt idx="26">
                  <c:v>30</c:v>
                </c:pt>
                <c:pt idx="27">
                  <c:v>40</c:v>
                </c:pt>
                <c:pt idx="28">
                  <c:v>49</c:v>
                </c:pt>
                <c:pt idx="29">
                  <c:v>20</c:v>
                </c:pt>
                <c:pt idx="30">
                  <c:v>25</c:v>
                </c:pt>
                <c:pt idx="31">
                  <c:v>30</c:v>
                </c:pt>
                <c:pt idx="32">
                  <c:v>35</c:v>
                </c:pt>
                <c:pt idx="33">
                  <c:v>40</c:v>
                </c:pt>
                <c:pt idx="34">
                  <c:v>24</c:v>
                </c:pt>
                <c:pt idx="35">
                  <c:v>16</c:v>
                </c:pt>
                <c:pt idx="36">
                  <c:v>34</c:v>
                </c:pt>
                <c:pt idx="37">
                  <c:v>60</c:v>
                </c:pt>
                <c:pt idx="38">
                  <c:v>100</c:v>
                </c:pt>
                <c:pt idx="39">
                  <c:v>70</c:v>
                </c:pt>
              </c:numCache>
            </c:numRef>
          </c:xVal>
          <c:yVal>
            <c:numRef>
              <c:f>Malkas_katli!$J$3:$J$42</c:f>
              <c:numCache>
                <c:formatCode>0</c:formatCode>
                <c:ptCount val="40"/>
                <c:pt idx="0">
                  <c:v>115.83333333333333</c:v>
                </c:pt>
                <c:pt idx="1">
                  <c:v>99.375</c:v>
                </c:pt>
                <c:pt idx="2">
                  <c:v>84.5</c:v>
                </c:pt>
                <c:pt idx="3">
                  <c:v>140.83333333333334</c:v>
                </c:pt>
                <c:pt idx="4">
                  <c:v>111.875</c:v>
                </c:pt>
                <c:pt idx="5">
                  <c:v>74.583333333333329</c:v>
                </c:pt>
                <c:pt idx="6">
                  <c:v>111.875</c:v>
                </c:pt>
                <c:pt idx="7">
                  <c:v>82.083333333333329</c:v>
                </c:pt>
                <c:pt idx="8">
                  <c:v>66.333333333333329</c:v>
                </c:pt>
                <c:pt idx="9">
                  <c:v>68.4375</c:v>
                </c:pt>
                <c:pt idx="10">
                  <c:v>91.25</c:v>
                </c:pt>
                <c:pt idx="11">
                  <c:v>58.25</c:v>
                </c:pt>
                <c:pt idx="12">
                  <c:v>79.666666666666671</c:v>
                </c:pt>
                <c:pt idx="13">
                  <c:v>50.6</c:v>
                </c:pt>
                <c:pt idx="14">
                  <c:v>64.75</c:v>
                </c:pt>
                <c:pt idx="15">
                  <c:v>55.8</c:v>
                </c:pt>
                <c:pt idx="16">
                  <c:v>74.75</c:v>
                </c:pt>
                <c:pt idx="17">
                  <c:v>49.833333333333336</c:v>
                </c:pt>
                <c:pt idx="18">
                  <c:v>55</c:v>
                </c:pt>
                <c:pt idx="19">
                  <c:v>44.875</c:v>
                </c:pt>
                <c:pt idx="20">
                  <c:v>74</c:v>
                </c:pt>
                <c:pt idx="21">
                  <c:v>59</c:v>
                </c:pt>
                <c:pt idx="22">
                  <c:v>52.75</c:v>
                </c:pt>
                <c:pt idx="23">
                  <c:v>46.6</c:v>
                </c:pt>
                <c:pt idx="24">
                  <c:v>81.650000000000006</c:v>
                </c:pt>
                <c:pt idx="25">
                  <c:v>71.2</c:v>
                </c:pt>
                <c:pt idx="26">
                  <c:v>62.266666666666666</c:v>
                </c:pt>
                <c:pt idx="27">
                  <c:v>63.95</c:v>
                </c:pt>
                <c:pt idx="28">
                  <c:v>55.918367346938773</c:v>
                </c:pt>
                <c:pt idx="29">
                  <c:v>67.760000000000005</c:v>
                </c:pt>
                <c:pt idx="30">
                  <c:v>57.92</c:v>
                </c:pt>
                <c:pt idx="31">
                  <c:v>50.4</c:v>
                </c:pt>
                <c:pt idx="32">
                  <c:v>47.474285714285713</c:v>
                </c:pt>
                <c:pt idx="33">
                  <c:v>44.62</c:v>
                </c:pt>
                <c:pt idx="34">
                  <c:v>45.833333333333336</c:v>
                </c:pt>
                <c:pt idx="35">
                  <c:v>60.5625</c:v>
                </c:pt>
                <c:pt idx="36">
                  <c:v>38.205882352941174</c:v>
                </c:pt>
                <c:pt idx="37">
                  <c:v>50.684999999999995</c:v>
                </c:pt>
                <c:pt idx="38">
                  <c:v>49.05</c:v>
                </c:pt>
                <c:pt idx="39">
                  <c:v>46.247142857142862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A01-4551-A4B4-91BD73BF41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15256840"/>
        <c:axId val="715255760"/>
      </c:scatterChart>
      <c:valAx>
        <c:axId val="7152568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accent1">
                  <a:alpha val="96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lv-LV"/>
                  <a:t>kW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lv-LV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715255760"/>
        <c:crosses val="autoZero"/>
        <c:crossBetween val="midCat"/>
      </c:valAx>
      <c:valAx>
        <c:axId val="715255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lv-LV"/>
                  <a:t>EUR/kW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lv-LV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7152568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800"/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v-LV"/>
              <a:t>Gaiss - ūdens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v>Gaiss - ūdens</c:v>
          </c:tx>
          <c:spPr>
            <a:ln>
              <a:noFill/>
            </a:ln>
          </c:spPr>
          <c:xVal>
            <c:numRef>
              <c:f>'Izejas datu lapa'!$J$65:$J$68</c:f>
              <c:numCache>
                <c:formatCode>General</c:formatCode>
                <c:ptCount val="4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50</c:v>
                </c:pt>
              </c:numCache>
            </c:numRef>
          </c:xVal>
          <c:yVal>
            <c:numRef>
              <c:f>'Izejas datu lapa'!$P$65:$P$68</c:f>
              <c:numCache>
                <c:formatCode>General</c:formatCode>
                <c:ptCount val="4"/>
                <c:pt idx="0">
                  <c:v>480</c:v>
                </c:pt>
                <c:pt idx="1">
                  <c:v>275</c:v>
                </c:pt>
                <c:pt idx="2">
                  <c:v>200</c:v>
                </c:pt>
                <c:pt idx="3">
                  <c:v>130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0931-403C-9A37-FC70C032DB80}"/>
            </c:ext>
          </c:extLst>
        </c:ser>
        <c:ser>
          <c:idx val="0"/>
          <c:order val="1"/>
          <c:tx>
            <c:v>Gaiss - ūdens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wer"/>
            <c:dispRSqr val="1"/>
            <c:dispEq val="1"/>
            <c:trendlineLbl>
              <c:layout>
                <c:manualLayout>
                  <c:x val="2.853280839895013E-2"/>
                  <c:y val="-0.1682261592300962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v-LV"/>
                </a:p>
              </c:txPr>
            </c:trendlineLbl>
          </c:trendline>
          <c:xVal>
            <c:numRef>
              <c:f>'Izejas datu lapa'!$J$65:$J$68</c:f>
              <c:numCache>
                <c:formatCode>General</c:formatCode>
                <c:ptCount val="4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50</c:v>
                </c:pt>
              </c:numCache>
            </c:numRef>
          </c:xVal>
          <c:yVal>
            <c:numRef>
              <c:f>'Izejas datu lapa'!$P$65:$P$68</c:f>
              <c:numCache>
                <c:formatCode>General</c:formatCode>
                <c:ptCount val="4"/>
                <c:pt idx="0">
                  <c:v>480</c:v>
                </c:pt>
                <c:pt idx="1">
                  <c:v>275</c:v>
                </c:pt>
                <c:pt idx="2">
                  <c:v>200</c:v>
                </c:pt>
                <c:pt idx="3">
                  <c:v>130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0931-403C-9A37-FC70C032DB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4074312"/>
        <c:axId val="674075032"/>
      </c:scatterChart>
      <c:valAx>
        <c:axId val="6740743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674075032"/>
        <c:crosses val="autoZero"/>
        <c:crossBetween val="midCat"/>
      </c:valAx>
      <c:valAx>
        <c:axId val="674075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674074312"/>
        <c:crosses val="autoZero"/>
        <c:crossBetween val="midCat"/>
      </c:valAx>
    </c:plotArea>
    <c:plotVisOnly val="1"/>
    <c:dispBlanksAs val="gap"/>
    <c:showDLblsOverMax val="0"/>
    <c:extLst/>
  </c:chart>
  <c:txPr>
    <a:bodyPr/>
    <a:lstStyle/>
    <a:p>
      <a:pPr>
        <a:defRPr/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v-LV"/>
              <a:t>Briketes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wer"/>
            <c:dispRSqr val="1"/>
            <c:dispEq val="1"/>
            <c:trendlineLbl>
              <c:layout>
                <c:manualLayout>
                  <c:x val="2.853280839895013E-2"/>
                  <c:y val="-0.1682261592300962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v-LV"/>
                </a:p>
              </c:txPr>
            </c:trendlineLbl>
          </c:trendline>
          <c:xVal>
            <c:numRef>
              <c:f>'Izejas datu lapa'!$J$65:$J$68</c:f>
              <c:numCache>
                <c:formatCode>General</c:formatCode>
                <c:ptCount val="4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50</c:v>
                </c:pt>
              </c:numCache>
            </c:numRef>
          </c:xVal>
          <c:yVal>
            <c:numRef>
              <c:f>'Izejas datu lapa'!$L$65:$L$68</c:f>
              <c:numCache>
                <c:formatCode>General</c:formatCode>
                <c:ptCount val="4"/>
                <c:pt idx="0">
                  <c:v>325</c:v>
                </c:pt>
                <c:pt idx="1">
                  <c:v>185</c:v>
                </c:pt>
                <c:pt idx="2">
                  <c:v>158.33333333333334</c:v>
                </c:pt>
                <c:pt idx="3">
                  <c:v>117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F51-4C9D-97C6-42ADCA1325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4074312"/>
        <c:axId val="674075032"/>
      </c:scatterChart>
      <c:valAx>
        <c:axId val="6740743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674075032"/>
        <c:crosses val="autoZero"/>
        <c:crossBetween val="midCat"/>
      </c:valAx>
      <c:valAx>
        <c:axId val="674075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67407431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5.xml"/><Relationship Id="rId3" Type="http://schemas.openxmlformats.org/officeDocument/2006/relationships/chart" Target="../charts/chart10.xml"/><Relationship Id="rId7" Type="http://schemas.openxmlformats.org/officeDocument/2006/relationships/chart" Target="../charts/chart14.xml"/><Relationship Id="rId12" Type="http://schemas.openxmlformats.org/officeDocument/2006/relationships/chart" Target="../charts/chart19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6" Type="http://schemas.openxmlformats.org/officeDocument/2006/relationships/chart" Target="../charts/chart13.xml"/><Relationship Id="rId11" Type="http://schemas.openxmlformats.org/officeDocument/2006/relationships/chart" Target="../charts/chart18.xml"/><Relationship Id="rId5" Type="http://schemas.openxmlformats.org/officeDocument/2006/relationships/chart" Target="../charts/chart12.xml"/><Relationship Id="rId10" Type="http://schemas.openxmlformats.org/officeDocument/2006/relationships/chart" Target="../charts/chart17.xml"/><Relationship Id="rId4" Type="http://schemas.openxmlformats.org/officeDocument/2006/relationships/chart" Target="../charts/chart11.xml"/><Relationship Id="rId9" Type="http://schemas.openxmlformats.org/officeDocument/2006/relationships/chart" Target="../charts/chart1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103520</xdr:colOff>
      <xdr:row>30</xdr:row>
      <xdr:rowOff>40982</xdr:rowOff>
    </xdr:from>
    <xdr:to>
      <xdr:col>17</xdr:col>
      <xdr:colOff>248663</xdr:colOff>
      <xdr:row>56</xdr:row>
      <xdr:rowOff>37354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D8AC3C6-0981-47D5-9EB0-B1306E3A4EE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135592</xdr:colOff>
      <xdr:row>1</xdr:row>
      <xdr:rowOff>64059</xdr:rowOff>
    </xdr:from>
    <xdr:to>
      <xdr:col>17</xdr:col>
      <xdr:colOff>268941</xdr:colOff>
      <xdr:row>27</xdr:row>
      <xdr:rowOff>145677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FACAA3F-0898-4C33-A21B-CE9CA3E54D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30304</xdr:colOff>
      <xdr:row>2</xdr:row>
      <xdr:rowOff>31462</xdr:rowOff>
    </xdr:from>
    <xdr:to>
      <xdr:col>23</xdr:col>
      <xdr:colOff>550717</xdr:colOff>
      <xdr:row>30</xdr:row>
      <xdr:rowOff>2887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CEE23C9-5B37-5FBA-FCC2-639FBB5418E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437029</xdr:colOff>
      <xdr:row>1</xdr:row>
      <xdr:rowOff>56030</xdr:rowOff>
    </xdr:from>
    <xdr:to>
      <xdr:col>24</xdr:col>
      <xdr:colOff>354191</xdr:colOff>
      <xdr:row>40</xdr:row>
      <xdr:rowOff>91532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E5163ED-8C61-4F4D-8E58-AC2C5C7650A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305952</xdr:colOff>
      <xdr:row>0</xdr:row>
      <xdr:rowOff>51665</xdr:rowOff>
    </xdr:from>
    <xdr:to>
      <xdr:col>25</xdr:col>
      <xdr:colOff>216764</xdr:colOff>
      <xdr:row>38</xdr:row>
      <xdr:rowOff>80818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53C8DBE-E6AC-484E-95DB-9A3990677E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305952</xdr:colOff>
      <xdr:row>0</xdr:row>
      <xdr:rowOff>51665</xdr:rowOff>
    </xdr:from>
    <xdr:to>
      <xdr:col>25</xdr:col>
      <xdr:colOff>216764</xdr:colOff>
      <xdr:row>39</xdr:row>
      <xdr:rowOff>118051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F2E43C7-57A0-48E2-9E14-CE524FF641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305952</xdr:colOff>
      <xdr:row>0</xdr:row>
      <xdr:rowOff>51665</xdr:rowOff>
    </xdr:from>
    <xdr:to>
      <xdr:col>25</xdr:col>
      <xdr:colOff>216764</xdr:colOff>
      <xdr:row>39</xdr:row>
      <xdr:rowOff>80818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FBDA2D4-67E6-47A4-B66A-E8FF3547AB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532548</xdr:colOff>
      <xdr:row>58</xdr:row>
      <xdr:rowOff>97171</xdr:rowOff>
    </xdr:from>
    <xdr:to>
      <xdr:col>32</xdr:col>
      <xdr:colOff>219051</xdr:colOff>
      <xdr:row>73</xdr:row>
      <xdr:rowOff>38901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8BBB8F0-E2FC-7448-B556-4C5F8B21197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40</xdr:col>
      <xdr:colOff>295851</xdr:colOff>
      <xdr:row>59</xdr:row>
      <xdr:rowOff>48038</xdr:rowOff>
    </xdr:from>
    <xdr:to>
      <xdr:col>47</xdr:col>
      <xdr:colOff>581068</xdr:colOff>
      <xdr:row>73</xdr:row>
      <xdr:rowOff>185603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91B076F-8FFA-4601-93CA-CC91F3A619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32</xdr:col>
      <xdr:colOff>436665</xdr:colOff>
      <xdr:row>58</xdr:row>
      <xdr:rowOff>158544</xdr:rowOff>
    </xdr:from>
    <xdr:to>
      <xdr:col>40</xdr:col>
      <xdr:colOff>112035</xdr:colOff>
      <xdr:row>73</xdr:row>
      <xdr:rowOff>94063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C963A7E5-2850-4A6D-B2D7-C2393F1A4B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48</xdr:col>
      <xdr:colOff>204313</xdr:colOff>
      <xdr:row>59</xdr:row>
      <xdr:rowOff>57521</xdr:rowOff>
    </xdr:from>
    <xdr:to>
      <xdr:col>55</xdr:col>
      <xdr:colOff>482933</xdr:colOff>
      <xdr:row>74</xdr:row>
      <xdr:rowOff>1288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DA1FE5E3-6D5C-4D59-A105-11FD0196E0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17</xdr:col>
      <xdr:colOff>117928</xdr:colOff>
      <xdr:row>58</xdr:row>
      <xdr:rowOff>90714</xdr:rowOff>
    </xdr:from>
    <xdr:to>
      <xdr:col>24</xdr:col>
      <xdr:colOff>407681</xdr:colOff>
      <xdr:row>73</xdr:row>
      <xdr:rowOff>23373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50DA9175-6436-468D-B777-9F11BB8BC1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55</xdr:col>
      <xdr:colOff>558099</xdr:colOff>
      <xdr:row>59</xdr:row>
      <xdr:rowOff>94218</xdr:rowOff>
    </xdr:from>
    <xdr:to>
      <xdr:col>63</xdr:col>
      <xdr:colOff>233470</xdr:colOff>
      <xdr:row>74</xdr:row>
      <xdr:rowOff>35512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98F1CF77-548A-4116-8E87-374189C0B4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17</xdr:col>
      <xdr:colOff>76488</xdr:colOff>
      <xdr:row>73</xdr:row>
      <xdr:rowOff>148647</xdr:rowOff>
    </xdr:from>
    <xdr:to>
      <xdr:col>24</xdr:col>
      <xdr:colOff>366241</xdr:colOff>
      <xdr:row>88</xdr:row>
      <xdr:rowOff>81306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255FDE5F-041E-454B-BEA2-150B67A1D4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24</xdr:col>
      <xdr:colOff>542637</xdr:colOff>
      <xdr:row>73</xdr:row>
      <xdr:rowOff>103909</xdr:rowOff>
    </xdr:from>
    <xdr:to>
      <xdr:col>32</xdr:col>
      <xdr:colOff>229140</xdr:colOff>
      <xdr:row>88</xdr:row>
      <xdr:rowOff>57185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A4948DF0-C8A4-4644-A4AB-2C1B8C9191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32</xdr:col>
      <xdr:colOff>438727</xdr:colOff>
      <xdr:row>74</xdr:row>
      <xdr:rowOff>11546</xdr:rowOff>
    </xdr:from>
    <xdr:to>
      <xdr:col>40</xdr:col>
      <xdr:colOff>114097</xdr:colOff>
      <xdr:row>88</xdr:row>
      <xdr:rowOff>143338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4392E1D3-3812-48E1-8E77-DFAF676985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40</xdr:col>
      <xdr:colOff>311727</xdr:colOff>
      <xdr:row>74</xdr:row>
      <xdr:rowOff>80819</xdr:rowOff>
    </xdr:from>
    <xdr:to>
      <xdr:col>47</xdr:col>
      <xdr:colOff>596944</xdr:colOff>
      <xdr:row>89</xdr:row>
      <xdr:rowOff>45202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5CBFBFC8-4783-41A6-814D-CE1C7763E4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48</xdr:col>
      <xdr:colOff>196273</xdr:colOff>
      <xdr:row>74</xdr:row>
      <xdr:rowOff>57728</xdr:rowOff>
    </xdr:from>
    <xdr:to>
      <xdr:col>55</xdr:col>
      <xdr:colOff>474893</xdr:colOff>
      <xdr:row>89</xdr:row>
      <xdr:rowOff>13040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3F7510D2-46D4-4800-857B-A87F58776C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56</xdr:col>
      <xdr:colOff>67830</xdr:colOff>
      <xdr:row>74</xdr:row>
      <xdr:rowOff>12988</xdr:rowOff>
    </xdr:from>
    <xdr:to>
      <xdr:col>63</xdr:col>
      <xdr:colOff>346451</xdr:colOff>
      <xdr:row>88</xdr:row>
      <xdr:rowOff>144782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E2351343-E9FF-4758-9396-6CB7B6E1EE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Jānis Ikaunieks (REA)" id="{030AD55B-CB61-44DC-ACC5-E442CDEBE567}" userId="S::Ikaunieks.Janis@riga.lv::15d32e72-11d7-444d-8e60-acb6adf552a8" providerId="AD"/>
  <person displayName="Ļubova Paršikova" id="{2E3D1594-0BCA-45C4-AE31-1A8E33A6D3AB}" userId="S::lubova.parsikova@riga.lv::ab3868be-2ec8-435d-b014-fdce4ce328cc" providerId="AD"/>
</personList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3" dT="2024-03-19T10:47:12.73" personId="{030AD55B-CB61-44DC-ACC5-E442CDEBE567}" id="{95B86325-AEAA-44A5-9422-408F1826CBD8}">
    <text>http://www.malkastirgus.lv/veikals/params/category/81173/</text>
    <extLst>
      <x:ext xmlns:xltc2="http://schemas.microsoft.com/office/spreadsheetml/2020/threadedcomments2" uri="{F7C98A9C-CBB3-438F-8F68-D28B6AF4A901}">
        <xltc2:checksum>4140997001</xltc2:checksum>
        <xltc2:hyperlink startIndex="0" length="57" url="http://www.malkastirgus.lv/veikals/params/category/81173/"/>
      </x:ext>
    </extLst>
  </threadedComment>
  <threadedComment ref="D3" dT="2023-05-23T06:25:40.87" personId="{2E3D1594-0BCA-45C4-AE31-1A8E33A6D3AB}" id="{4CFA1D11-8F0F-4D6D-93E4-8CDA20C9B394}">
    <text>http://www.drova.lv/lv/malka/
cenas - par ber.m3 -&gt; aprēķinos konvertācija</text>
  </threadedComment>
  <threadedComment ref="E3" dT="2024-03-19T10:44:26.71" personId="{030AD55B-CB61-44DC-ACC5-E442CDEBE567}" id="{8921C272-151F-422A-A222-F655C0B347B8}">
    <text xml:space="preserve">https://hb-koks.lv/produkta-kategorija/jaukta-lapu-koku-malka/
ar piegādi Rīgā.
44,5 EUR/ber.m3 bez PVN
</text>
  </threadedComment>
  <threadedComment ref="F3" dT="2024-03-19T14:54:04.04" personId="{030AD55B-CB61-44DC-ACC5-E442CDEBE567}" id="{078C27E8-1E75-4E6B-A501-DEC10BE8B52C}">
    <text>https://e-malka.lv/produkta-kategorija/alksna-malka/</text>
    <extLst>
      <x:ext xmlns:xltc2="http://schemas.microsoft.com/office/spreadsheetml/2020/threadedcomments2" uri="{F7C98A9C-CBB3-438F-8F68-D28B6AF4A901}">
        <xltc2:checksum>1918098792</xltc2:checksum>
        <xltc2:hyperlink startIndex="0" length="52" url="https://e-malka.lv/produkta-kategorija/alksna-malka/"/>
      </x:ext>
    </extLst>
  </threadedComment>
  <threadedComment ref="C6" dT="2023-05-16T08:19:14.88" personId="{2E3D1594-0BCA-45C4-AE31-1A8E33A6D3AB}" id="{26A20E75-447F-47DB-9FF9-983EA825F528}">
    <text>Paletē: 65 x 15 kg = 975 kg, pārrēķināts uz tonnu.
https://www.enefit.lv/majai/granulas</text>
  </threadedComment>
  <threadedComment ref="D6" dT="2023-05-16T08:51:44.86" personId="{2E3D1594-0BCA-45C4-AE31-1A8E33A6D3AB}" id="{7AE05765-0912-4345-AD80-A70F2EA7A9CA}">
    <text>https://www.granulas.lv/cenas</text>
  </threadedComment>
  <threadedComment ref="C8" dT="2023-05-23T08:24:17.55" personId="{2E3D1594-0BCA-45C4-AE31-1A8E33A6D3AB}" id="{1D12E069-13D2-4EAE-8F29-EB38EBFCA4B1}">
    <text>Grupas uzņēmumu ražotas
https://www.finieris.lv/lv/e-veikals/produktu-atlase?wh=mt&amp;pr=c3&amp;pg=1</text>
  </threadedComment>
  <threadedComment ref="D8" dT="2023-05-16T13:16:05.05" personId="{2E3D1594-0BCA-45C4-AE31-1A8E33A6D3AB}" id="{6060882E-3374-467A-A466-A27099E9ED0E}">
    <text>https://skaidubriketes.lv/</text>
  </threadedComment>
  <threadedComment ref="E8" dT="2023-05-16T08:48:53.88" personId="{2E3D1594-0BCA-45C4-AE31-1A8E33A6D3AB}" id="{CA6CEC85-6FFC-4CBF-A3AA-8926A18D4379}">
    <text>https://prowood.lv/lv/apkure</text>
  </threadedComment>
  <threadedComment ref="F8" dT="2023-05-16T09:02:01.33" personId="{2E3D1594-0BCA-45C4-AE31-1A8E33A6D3AB}" id="{2A033EEA-05AD-49FE-8524-48E532AA0313}">
    <text>http://www.latgranula.lv/lat/</text>
  </threadedComment>
  <threadedComment ref="B15" dT="2023-05-15T13:51:15.44" personId="{2E3D1594-0BCA-45C4-AE31-1A8E33A6D3AB}" id="{0A5D0CC9-7BB7-46B8-A615-E53595543457}">
    <text>https://www.elektrum.lv/lv/majai/elektrum-dabasgaze/dabasgazes-produkti/piemerotaka-produkta-kalkulators/33/4350489283?contract_start_date=2023-06-01&amp;gas%5Bvoucher%5D=&amp;gas%5BmaxLoad%5D=06&amp;gas%5Bconsumption%5D%5Bcubic%5D=1651.17&amp;gas%5Bconsumption%5D%5Bwatts%5D=17400</text>
  </threadedComment>
  <threadedComment ref="C15" dT="2023-05-15T13:56:18.68" personId="{2E3D1594-0BCA-45C4-AE31-1A8E33A6D3AB}" id="{F3FC18AB-1E6D-4103-8C8F-B003E6606CBA}">
    <text>https://lg.lv/jaunumi/dabasgazes-tirgus-atversana-zemaka-dabasgazes-cena-draudzigi-nosacijumi</text>
  </threadedComment>
  <threadedComment ref="D15" dT="2023-05-15T13:51:34.37" personId="{2E3D1594-0BCA-45C4-AE31-1A8E33A6D3AB}" id="{13BCE93A-280B-44D7-963E-916317F15970}">
    <text>https://elenger.lv/majai/dabasgaze/?gclid=EAIaIQobChMIoLDogZ33_gIVitxRCh0ZJg67EAAYASAAEgIQCvD_BwE</text>
  </threadedComment>
  <threadedComment ref="B18" dT="2024-03-20T09:25:44.21" personId="{030AD55B-CB61-44DC-ACC5-E442CDEBE567}" id="{B26E828F-6A55-4493-94FA-21427EA8BFCA}">
    <text xml:space="preserve">gada patēriņš 2635-263450 kWh), </text>
  </threadedComment>
  <threadedComment ref="C18" dT="2024-03-20T09:25:44.21" personId="{030AD55B-CB61-44DC-ACC5-E442CDEBE567}" id="{01CB035A-7D07-42A1-B72D-9A386D705B96}">
    <text xml:space="preserve">gada patēriņš 2635-263450 kWh), </text>
  </threadedComment>
  <threadedComment ref="D18" dT="2024-03-20T09:25:44.21" personId="{030AD55B-CB61-44DC-ACC5-E442CDEBE567}" id="{BBE93236-C12B-45E9-83BE-042AC9C61780}">
    <text xml:space="preserve">gada patēriņš 2635-263450 kWh), </text>
  </threadedComment>
  <threadedComment ref="B19" dT="2024-03-20T09:26:06.76" personId="{030AD55B-CB61-44DC-ACC5-E442CDEBE567}" id="{3E550A85-77C2-405E-8447-F5B47DCE3141}">
    <text xml:space="preserve"> līdz 6 m3/h</text>
  </threadedComment>
  <threadedComment ref="C19" dT="2024-03-20T09:26:16.47" personId="{030AD55B-CB61-44DC-ACC5-E442CDEBE567}" id="{2C19F6B8-343A-44E6-B853-312A8921CC2D}">
    <text xml:space="preserve"> līdz 6 m3/h</text>
  </threadedComment>
  <threadedComment ref="D19" dT="2024-03-20T09:26:20.25" personId="{030AD55B-CB61-44DC-ACC5-E442CDEBE567}" id="{A4C7C9E1-59D7-45F4-A7D0-80611FEDCFC1}">
    <text xml:space="preserve"> līdz 6 m3/h</text>
  </threadedComment>
  <threadedComment ref="B21" dT="2024-03-20T09:42:31.89" personId="{030AD55B-CB61-44DC-ACC5-E442CDEBE567}" id="{1D2DC1AE-D9B1-4D8B-BD4F-BCDF20288CAD}">
    <text>https://www.lpg.lv/lv/private/house/aboveground-tank/</text>
    <extLst>
      <x:ext xmlns:xltc2="http://schemas.microsoft.com/office/spreadsheetml/2020/threadedcomments2" uri="{F7C98A9C-CBB3-438F-8F68-D28B6AF4A901}">
        <xltc2:checksum>1625132941</xltc2:checksum>
        <xltc2:hyperlink startIndex="0" length="53" url="https://www.lpg.lv/lv/private/house/aboveground-tank/"/>
      </x:ext>
    </extLst>
  </threadedComment>
  <threadedComment ref="C21" dT="2024-03-20T09:34:06.39" personId="{030AD55B-CB61-44DC-ACC5-E442CDEBE567}" id="{830D26F1-492B-465C-8925-2924B9EB4D9C}">
    <text>https://gazes.lv/?r=calculator-gas-pellets</text>
    <extLst>
      <x:ext xmlns:xltc2="http://schemas.microsoft.com/office/spreadsheetml/2020/threadedcomments2" uri="{F7C98A9C-CBB3-438F-8F68-D28B6AF4A901}">
        <xltc2:checksum>2776212123</xltc2:checksum>
        <xltc2:hyperlink startIndex="0" length="42" url="https://gazes.lv/?r=calculator-gas-pellets"/>
      </x:ext>
    </extLst>
  </threadedComment>
  <threadedComment ref="B22" dT="2024-03-20T09:58:34.33" personId="{030AD55B-CB61-44DC-ACC5-E442CDEBE567}" id="{D01FD51F-BC27-4C16-8E84-4B174E0CAC6E}">
    <text>https://www.rs.lv/saturs/rigas-siltums-siltumenergijas-tarifs</text>
    <extLst>
      <x:ext xmlns:xltc2="http://schemas.microsoft.com/office/spreadsheetml/2020/threadedcomments2" uri="{F7C98A9C-CBB3-438F-8F68-D28B6AF4A901}">
        <xltc2:checksum>1996558713</xltc2:checksum>
        <xltc2:hyperlink startIndex="0" length="61" url="https://www.rs.lv/saturs/rigas-siltums-siltumenergijas-tarifs"/>
      </x:ext>
    </extLs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H3" dT="2024-04-16T15:36:39.88" personId="{030AD55B-CB61-44DC-ACC5-E442CDEBE567}" id="{173A38B2-09E7-4CB2-BC38-C13908ABCFBC}">
    <text>https://hmstechnical.lv/produkti/midea-siltumsukni/</text>
    <extLst>
      <x:ext xmlns:xltc2="http://schemas.microsoft.com/office/spreadsheetml/2020/threadedcomments2" uri="{F7C98A9C-CBB3-438F-8F68-D28B6AF4A901}">
        <xltc2:checksum>436821873</xltc2:checksum>
        <xltc2:hyperlink startIndex="0" length="51" url="https://hmstechnical.lv/produkti/midea-siltumsukni/"/>
      </x:ext>
    </extLst>
  </threadedComment>
  <threadedComment ref="E4" dT="2024-04-16T14:09:11.45" personId="{030AD55B-CB61-44DC-ACC5-E442CDEBE567}" id="{7F155FA4-E27F-4DD1-90E9-A8E9431864BE}">
    <text>https://klimats.lv/product/daikin-gaiss-udens-siltumsuknis-altherma-ehvx08s18e9w-erga06evh-60kw-180l-tvertne-r32/</text>
    <extLst>
      <x:ext xmlns:xltc2="http://schemas.microsoft.com/office/spreadsheetml/2020/threadedcomments2" uri="{F7C98A9C-CBB3-438F-8F68-D28B6AF4A901}">
        <xltc2:checksum>994674626</xltc2:checksum>
        <xltc2:hyperlink startIndex="0" length="113" url="https://klimats.lv/product/daikin-gaiss-udens-siltumsuknis-altherma-ehvx08s18e9w-erga06evh-60kw-180l-tvertne-r32/"/>
      </x:ext>
    </extLst>
  </threadedComment>
  <threadedComment ref="D5" dT="2024-04-16T14:10:24.51" personId="{030AD55B-CB61-44DC-ACC5-E442CDEBE567}" id="{D31793A4-537F-4384-9F5A-AF58F2F0EDCD}">
    <text>https://www.mksystems.lv/viessmann-vitocal-111-s-gaiss-udens-siltumsuknis-viss-viena-ar-boileri-r32-6kw</text>
    <extLst>
      <x:ext xmlns:xltc2="http://schemas.microsoft.com/office/spreadsheetml/2020/threadedcomments2" uri="{F7C98A9C-CBB3-438F-8F68-D28B6AF4A901}">
        <xltc2:checksum>2137281893</xltc2:checksum>
        <xltc2:hyperlink startIndex="0" length="103" url="https://www.mksystems.lv/viessmann-vitocal-111-s-gaiss-udens-siltumsuknis-viss-viena-ar-boileri-r32-6kw"/>
      </x:ext>
    </extLst>
  </threadedComment>
  <threadedComment ref="F6" dT="2024-04-16T14:51:01.90" personId="{030AD55B-CB61-44DC-ACC5-E442CDEBE567}" id="{858809DE-802B-483E-9333-73CBE0D231FD}">
    <text>https://elektrumveikals.lv/lv/majai/apkures-risinajumi/siltumsukni-apkurei</text>
    <extLst>
      <x:ext xmlns:xltc2="http://schemas.microsoft.com/office/spreadsheetml/2020/threadedcomments2" uri="{F7C98A9C-CBB3-438F-8F68-D28B6AF4A901}">
        <xltc2:checksum>3686262355</xltc2:checksum>
        <xltc2:hyperlink startIndex="0" length="74" url="https://elektrumveikals.lv/lv/majai/apkures-risinajumi/siltumsukni-apkurei"/>
      </x:ext>
    </extLst>
  </threadedComment>
  <threadedComment ref="H7" dT="2024-04-16T15:36:39.88" personId="{030AD55B-CB61-44DC-ACC5-E442CDEBE567}" id="{93B13254-70A9-461B-8A87-EA7C71E523AD}">
    <text>https://hmstechnical.lv/produkti/midea-siltumsukni/</text>
    <extLst>
      <x:ext xmlns:xltc2="http://schemas.microsoft.com/office/spreadsheetml/2020/threadedcomments2" uri="{F7C98A9C-CBB3-438F-8F68-D28B6AF4A901}">
        <xltc2:checksum>436821873</xltc2:checksum>
        <xltc2:hyperlink startIndex="0" length="51" url="https://hmstechnical.lv/produkti/midea-siltumsukni/"/>
      </x:ext>
    </extLst>
  </threadedComment>
  <threadedComment ref="C8" dT="2024-04-16T13:40:17.61" personId="{030AD55B-CB61-44DC-ACC5-E442CDEBE567}" id="{15EB2C4B-A9F1-431F-B601-D2404A200CBA}">
    <text>https://sildamies.lv/products/gaiss-udens-siltumsuknis-alpha-innotec-alira-lwd-7-kw-ar-180-l-ku-tvertni/</text>
    <extLst>
      <x:ext xmlns:xltc2="http://schemas.microsoft.com/office/spreadsheetml/2020/threadedcomments2" uri="{F7C98A9C-CBB3-438F-8F68-D28B6AF4A901}">
        <xltc2:checksum>1653835722</xltc2:checksum>
        <xltc2:hyperlink startIndex="0" length="104" url="https://sildamies.lv/products/gaiss-udens-siltumsuknis-alpha-innotec-alira-lwd-7-kw-ar-180-l-ku-tvertni/"/>
      </x:ext>
    </extLst>
  </threadedComment>
  <threadedComment ref="C9" dT="2024-04-16T13:35:53.65" personId="{030AD55B-CB61-44DC-ACC5-E442CDEBE567}" id="{0313EBAE-C56E-4206-B6A1-72B5DE1CEFA7}">
    <text>https://sildamies.lv/products/gaiss-udens-siltumsuknis-mitsubishi-ecodan-power-inverter-8-kw-ar-300-l-ku-tvertni/</text>
    <extLst>
      <x:ext xmlns:xltc2="http://schemas.microsoft.com/office/spreadsheetml/2020/threadedcomments2" uri="{F7C98A9C-CBB3-438F-8F68-D28B6AF4A901}">
        <xltc2:checksum>2406080287</xltc2:checksum>
        <xltc2:hyperlink startIndex="0" length="113" url="https://sildamies.lv/products/gaiss-udens-siltumsuknis-mitsubishi-ecodan-power-inverter-8-kw-ar-300-l-ku-tvertni/"/>
      </x:ext>
    </extLst>
  </threadedComment>
  <threadedComment ref="E10" dT="2024-04-16T14:09:20.60" personId="{030AD55B-CB61-44DC-ACC5-E442CDEBE567}" id="{0B3088A8-0595-42FB-B528-C8BA29AE3746}">
    <text>https://klimats.lv/product/daikin-gaiss-udens-siltumsuknis-altherma-ehvx08s18e6v-erga08evh-80kw-180l-tvertne-r32/</text>
    <extLst>
      <x:ext xmlns:xltc2="http://schemas.microsoft.com/office/spreadsheetml/2020/threadedcomments2" uri="{F7C98A9C-CBB3-438F-8F68-D28B6AF4A901}">
        <xltc2:checksum>1019523995</xltc2:checksum>
        <xltc2:hyperlink startIndex="0" length="113" url="https://klimats.lv/product/daikin-gaiss-udens-siltumsuknis-altherma-ehvx08s18e6v-erga08evh-80kw-180l-tvertne-r32/"/>
      </x:ext>
    </extLst>
  </threadedComment>
  <threadedComment ref="G11" dT="2024-04-16T15:23:45.30" personId="{030AD55B-CB61-44DC-ACC5-E442CDEBE567}" id="{6F9B5B69-29A7-43A1-A6F5-F955E826CF83}">
    <text>https://commodus.lv/gaiss-udens-siltumsuknis-no-mitsubishi-hydrolution-serijas</text>
    <extLst>
      <x:ext xmlns:xltc2="http://schemas.microsoft.com/office/spreadsheetml/2020/threadedcomments2" uri="{F7C98A9C-CBB3-438F-8F68-D28B6AF4A901}">
        <xltc2:checksum>376130820</xltc2:checksum>
        <xltc2:hyperlink startIndex="0" length="78" url="https://commodus.lv/gaiss-udens-siltumsuknis-no-mitsubishi-hydrolution-serijas"/>
      </x:ext>
    </extLst>
  </threadedComment>
  <threadedComment ref="H12" dT="2024-04-16T15:36:39.88" personId="{030AD55B-CB61-44DC-ACC5-E442CDEBE567}" id="{3E5C553D-2E14-4CF5-BF57-66004D755D2D}">
    <text>https://hmstechnical.lv/produkti/midea-siltumsukni/</text>
    <extLst>
      <x:ext xmlns:xltc2="http://schemas.microsoft.com/office/spreadsheetml/2020/threadedcomments2" uri="{F7C98A9C-CBB3-438F-8F68-D28B6AF4A901}">
        <xltc2:checksum>436821873</xltc2:checksum>
        <xltc2:hyperlink startIndex="0" length="51" url="https://hmstechnical.lv/produkti/midea-siltumsukni/"/>
      </x:ext>
    </extLst>
  </threadedComment>
  <threadedComment ref="F13" dT="2024-04-16T14:51:05.21" personId="{030AD55B-CB61-44DC-ACC5-E442CDEBE567}" id="{AFFEB28E-F4B9-430C-885C-BCA498E094FA}">
    <text>https://elektrumveikals.lv/lv/majai/apkures-risinajumi/siltumsukni-apkurei</text>
    <extLst>
      <x:ext xmlns:xltc2="http://schemas.microsoft.com/office/spreadsheetml/2020/threadedcomments2" uri="{F7C98A9C-CBB3-438F-8F68-D28B6AF4A901}">
        <xltc2:checksum>3686262355</xltc2:checksum>
        <xltc2:hyperlink startIndex="0" length="74" url="https://elektrumveikals.lv/lv/majai/apkures-risinajumi/siltumsukni-apkurei"/>
      </x:ext>
    </extLst>
  </threadedComment>
  <threadedComment ref="G14" dT="2024-04-16T15:23:48.99" personId="{030AD55B-CB61-44DC-ACC5-E442CDEBE567}" id="{647A1DF7-8BBB-40AB-9185-9943A956EEE3}">
    <text>https://commodus.lv/gaiss-udens-siltumsuknis-no-mitsubishi-hydrolution-serijas</text>
    <extLst>
      <x:ext xmlns:xltc2="http://schemas.microsoft.com/office/spreadsheetml/2020/threadedcomments2" uri="{F7C98A9C-CBB3-438F-8F68-D28B6AF4A901}">
        <xltc2:checksum>376130820</xltc2:checksum>
        <xltc2:hyperlink startIndex="0" length="78" url="https://commodus.lv/gaiss-udens-siltumsuknis-no-mitsubishi-hydrolution-serijas"/>
      </x:ext>
    </extLst>
  </threadedComment>
  <threadedComment ref="D15" dT="2024-04-16T13:42:30.71" personId="{030AD55B-CB61-44DC-ACC5-E442CDEBE567}" id="{B85E6CC9-4F09-47B6-A2AD-DC933FBFB404}">
    <text>https://www.mksystems.lv/viessmann-vitocal-222-s-gaiss-udens-siltumsuknis-viss-viena-ar-boileri-r410a-trisfazu-10kw</text>
    <extLst>
      <x:ext xmlns:xltc2="http://schemas.microsoft.com/office/spreadsheetml/2020/threadedcomments2" uri="{F7C98A9C-CBB3-438F-8F68-D28B6AF4A901}">
        <xltc2:checksum>2491090646</xltc2:checksum>
        <xltc2:hyperlink startIndex="0" length="115" url="https://www.mksystems.lv/viessmann-vitocal-222-s-gaiss-udens-siltumsuknis-viss-viena-ar-boileri-r410a-trisfazu-10kw"/>
      </x:ext>
    </extLst>
  </threadedComment>
  <threadedComment ref="C16" dT="2024-04-16T13:37:04.32" personId="{030AD55B-CB61-44DC-ACC5-E442CDEBE567}" id="{7A941CD7-E7C2-41F8-8363-FE041C72298F}">
    <text>https://sildamies.lv/products/gaiss-udens-siltumsuknis-mitsubishi-ecodan-power-inverter-10-kw-ar-200-l-ku-tvertni/</text>
    <extLst>
      <x:ext xmlns:xltc2="http://schemas.microsoft.com/office/spreadsheetml/2020/threadedcomments2" uri="{F7C98A9C-CBB3-438F-8F68-D28B6AF4A901}">
        <xltc2:checksum>2320995414</xltc2:checksum>
        <xltc2:hyperlink startIndex="0" length="114" url="https://sildamies.lv/products/gaiss-udens-siltumsuknis-mitsubishi-ecodan-power-inverter-10-kw-ar-200-l-ku-tvertni/"/>
      </x:ext>
    </extLst>
  </threadedComment>
  <threadedComment ref="H17" dT="2024-04-16T15:36:39.88" personId="{030AD55B-CB61-44DC-ACC5-E442CDEBE567}" id="{C1E1CE75-B0F9-4A3D-9BA4-2FE04FAD9BB6}">
    <text>https://hmstechnical.lv/produkti/midea-siltumsukni/</text>
    <extLst>
      <x:ext xmlns:xltc2="http://schemas.microsoft.com/office/spreadsheetml/2020/threadedcomments2" uri="{F7C98A9C-CBB3-438F-8F68-D28B6AF4A901}">
        <xltc2:checksum>436821873</xltc2:checksum>
        <xltc2:hyperlink startIndex="0" length="51" url="https://hmstechnical.lv/produkti/midea-siltumsukni/"/>
      </x:ext>
    </extLst>
  </threadedComment>
  <threadedComment ref="E18" dT="2024-04-16T14:09:30.54" personId="{030AD55B-CB61-44DC-ACC5-E442CDEBE567}" id="{D1425952-6961-4F37-8181-EEC37B08DDF7}">
    <text>https://klimats.lv/product/daikin-gaiss-udens-siltumsuknis-altherma-ebvx11s18d9w-erla11dw1-106kw-180l-tvertne-r32/</text>
    <extLst>
      <x:ext xmlns:xltc2="http://schemas.microsoft.com/office/spreadsheetml/2020/threadedcomments2" uri="{F7C98A9C-CBB3-438F-8F68-D28B6AF4A901}">
        <xltc2:checksum>1622242583</xltc2:checksum>
        <xltc2:hyperlink startIndex="0" length="114" url="https://klimats.lv/product/daikin-gaiss-udens-siltumsuknis-altherma-ebvx11s18d9w-erla11dw1-106kw-180l-tvertne-r32/"/>
      </x:ext>
    </extLst>
  </threadedComment>
  <threadedComment ref="F19" dT="2024-04-16T14:51:08.99" personId="{030AD55B-CB61-44DC-ACC5-E442CDEBE567}" id="{F949B27A-5E45-46C9-94D2-3AA5AEB79A6E}">
    <text>https://elektrumveikals.lv/lv/majai/apkures-risinajumi/siltumsukni-apkurei</text>
    <extLst>
      <x:ext xmlns:xltc2="http://schemas.microsoft.com/office/spreadsheetml/2020/threadedcomments2" uri="{F7C98A9C-CBB3-438F-8F68-D28B6AF4A901}">
        <xltc2:checksum>3686262355</xltc2:checksum>
        <xltc2:hyperlink startIndex="0" length="74" url="https://elektrumveikals.lv/lv/majai/apkures-risinajumi/siltumsukni-apkurei"/>
      </x:ext>
    </extLst>
  </threadedComment>
  <threadedComment ref="H20" dT="2024-04-16T15:39:31.38" personId="{030AD55B-CB61-44DC-ACC5-E442CDEBE567}" id="{3CA290FE-707C-4C0C-9A3F-815C9CF2F2EC}">
    <text>https://hmstechnical.lv/produkti/midea-siltumsukni/</text>
    <extLst>
      <x:ext xmlns:xltc2="http://schemas.microsoft.com/office/spreadsheetml/2020/threadedcomments2" uri="{F7C98A9C-CBB3-438F-8F68-D28B6AF4A901}">
        <xltc2:checksum>436821873</xltc2:checksum>
        <xltc2:hyperlink startIndex="0" length="51" url="https://hmstechnical.lv/produkti/midea-siltumsukni/"/>
      </x:ext>
    </extLst>
  </threadedComment>
  <threadedComment ref="C21" dT="2024-04-16T13:26:19.19" personId="{030AD55B-CB61-44DC-ACC5-E442CDEBE567}" id="{3BD256F9-1E5E-4CDF-853E-FCC06D53FB33}">
    <text>https://sildamies.lv/products/intustrialais-gaiss-udens-siltumsuknis-alpha-innotec-alira-lw-140a-lux-2-0/</text>
    <extLst>
      <x:ext xmlns:xltc2="http://schemas.microsoft.com/office/spreadsheetml/2020/threadedcomments2" uri="{F7C98A9C-CBB3-438F-8F68-D28B6AF4A901}">
        <xltc2:checksum>1859586535</xltc2:checksum>
        <xltc2:hyperlink startIndex="0" length="105" url="https://sildamies.lv/products/intustrialais-gaiss-udens-siltumsuknis-alpha-innotec-alira-lw-140a-lux-2-0/"/>
      </x:ext>
    </extLst>
  </threadedComment>
  <threadedComment ref="H22" dT="2024-04-16T15:39:40.46" personId="{030AD55B-CB61-44DC-ACC5-E442CDEBE567}" id="{1733E1B4-078C-42E9-BE8B-ED389F3A5637}">
    <text>https://hmstechnical.lv/produkti/midea-siltumsukni/</text>
    <extLst>
      <x:ext xmlns:xltc2="http://schemas.microsoft.com/office/spreadsheetml/2020/threadedcomments2" uri="{F7C98A9C-CBB3-438F-8F68-D28B6AF4A901}">
        <xltc2:checksum>436821873</xltc2:checksum>
        <xltc2:hyperlink startIndex="0" length="51" url="https://hmstechnical.lv/produkti/midea-siltumsukni/"/>
      </x:ext>
    </extLst>
  </threadedComment>
  <threadedComment ref="D23" dT="2024-04-16T14:15:01.58" personId="{030AD55B-CB61-44DC-ACC5-E442CDEBE567}" id="{81D4A054-B199-4D04-A805-F4A011E1C343}">
    <text>https://www.mksystems.lv/panasonic-aquarea-gaiss-udens-siltumsuknis-viss-viena-ar-boileri-trisfazu-16kw</text>
    <extLst>
      <x:ext xmlns:xltc2="http://schemas.microsoft.com/office/spreadsheetml/2020/threadedcomments2" uri="{F7C98A9C-CBB3-438F-8F68-D28B6AF4A901}">
        <xltc2:checksum>1000598014</xltc2:checksum>
        <xltc2:hyperlink startIndex="0" length="103" url="https://www.mksystems.lv/panasonic-aquarea-gaiss-udens-siltumsuknis-viss-viena-ar-boileri-trisfazu-16kw"/>
      </x:ext>
    </extLst>
  </threadedComment>
  <threadedComment ref="E24" dT="2024-04-16T13:47:22.07" personId="{030AD55B-CB61-44DC-ACC5-E442CDEBE567}" id="{E2413BD5-46B4-4341-8B2D-9B12641A1EB1}">
    <text>https://klimats.lv/product/daikin-gaiss-udens-siltumsuknis-altherma-ebvx16s23d6v-erla16dv3-16kw-230l-tvertne-r32/</text>
    <extLst>
      <x:ext xmlns:xltc2="http://schemas.microsoft.com/office/spreadsheetml/2020/threadedcomments2" uri="{F7C98A9C-CBB3-438F-8F68-D28B6AF4A901}">
        <xltc2:checksum>1116094970</xltc2:checksum>
        <xltc2:hyperlink startIndex="0" length="113" url="https://klimats.lv/product/daikin-gaiss-udens-siltumsuknis-altherma-ebvx16s23d6v-erla16dv3-16kw-230l-tvertne-r32/"/>
      </x:ext>
    </extLst>
  </threadedComment>
  <threadedComment ref="F25" dT="2024-04-16T14:51:14.04" personId="{030AD55B-CB61-44DC-ACC5-E442CDEBE567}" id="{7C60DE86-7976-4137-8E65-BBEC754602C9}">
    <text>https://elektrumveikals.lv/lv/majai/apkures-risinajumi/siltumsukni-apkurei</text>
    <extLst>
      <x:ext xmlns:xltc2="http://schemas.microsoft.com/office/spreadsheetml/2020/threadedcomments2" uri="{F7C98A9C-CBB3-438F-8F68-D28B6AF4A901}">
        <xltc2:checksum>3686262355</xltc2:checksum>
        <xltc2:hyperlink startIndex="0" length="74" url="https://elektrumveikals.lv/lv/majai/apkures-risinajumi/siltumsukni-apkurei"/>
      </x:ext>
    </extLst>
  </threadedComment>
  <threadedComment ref="G26" dT="2024-04-16T15:23:52.83" personId="{030AD55B-CB61-44DC-ACC5-E442CDEBE567}" id="{EAD9E2B9-5FF1-49A8-A1D8-08D08BC01451}">
    <text>https://commodus.lv/gaiss-udens-siltumsuknis-no-mitsubishi-hydrolution-serijas</text>
    <extLst>
      <x:ext xmlns:xltc2="http://schemas.microsoft.com/office/spreadsheetml/2020/threadedcomments2" uri="{F7C98A9C-CBB3-438F-8F68-D28B6AF4A901}">
        <xltc2:checksum>376130820</xltc2:checksum>
        <xltc2:hyperlink startIndex="0" length="78" url="https://commodus.lv/gaiss-udens-siltumsuknis-no-mitsubishi-hydrolution-serijas"/>
      </x:ext>
    </extLst>
  </threadedComment>
  <threadedComment ref="H27" dT="2024-04-16T15:39:45.46" personId="{030AD55B-CB61-44DC-ACC5-E442CDEBE567}" id="{BF360EB7-431C-4392-87F3-DACCE6F25F10}">
    <text>https://hmstechnical.lv/produkti/midea-siltumsukni/</text>
    <extLst>
      <x:ext xmlns:xltc2="http://schemas.microsoft.com/office/spreadsheetml/2020/threadedcomments2" uri="{F7C98A9C-CBB3-438F-8F68-D28B6AF4A901}">
        <xltc2:checksum>436821873</xltc2:checksum>
        <xltc2:hyperlink startIndex="0" length="51" url="https://hmstechnical.lv/produkti/midea-siltumsukni/"/>
      </x:ext>
    </extLst>
  </threadedComment>
  <threadedComment ref="C28" dT="2024-04-16T13:25:10.05" personId="{030AD55B-CB61-44DC-ACC5-E442CDEBE567}" id="{C2D5D6FC-6286-4821-B451-1EC45D10E2C1}">
    <text>https://sildamies.lv/products/intustrialais-gaiss-udens-siltumsuknis-alpha-innotec-alira-lw-180a-lux-2-0/</text>
    <extLst>
      <x:ext xmlns:xltc2="http://schemas.microsoft.com/office/spreadsheetml/2020/threadedcomments2" uri="{F7C98A9C-CBB3-438F-8F68-D28B6AF4A901}">
        <xltc2:checksum>3972694709</xltc2:checksum>
        <xltc2:hyperlink startIndex="0" length="105" url="https://sildamies.lv/products/intustrialais-gaiss-udens-siltumsuknis-alpha-innotec-alira-lw-180a-lux-2-0/"/>
      </x:ext>
    </extLst>
  </threadedComment>
  <threadedComment ref="C29" dT="2024-04-16T13:22:36.79" personId="{030AD55B-CB61-44DC-ACC5-E442CDEBE567}" id="{F11EDF36-A821-43B5-B113-2FF005733E9A}">
    <text>https://sildamies.lv/products/intustrialais-gaiss-udens-siltumsuknis-alpha-innotec-alira-pro-lw-251a-lux-2-0/</text>
    <extLst>
      <x:ext xmlns:xltc2="http://schemas.microsoft.com/office/spreadsheetml/2020/threadedcomments2" uri="{F7C98A9C-CBB3-438F-8F68-D28B6AF4A901}">
        <xltc2:checksum>1082526952</xltc2:checksum>
        <xltc2:hyperlink startIndex="0" length="109" url="https://sildamies.lv/products/intustrialais-gaiss-udens-siltumsuknis-alpha-innotec-alira-pro-lw-251a-lux-2-0/"/>
      </x:ext>
    </extLst>
  </threadedComment>
  <threadedComment ref="C30" dT="2024-04-16T13:19:35.67" personId="{030AD55B-CB61-44DC-ACC5-E442CDEBE567}" id="{7ACDB5C8-D0FC-466E-A429-1307EE509D99}">
    <text>https://sildamies.lv/products/intustrialais-gaiss-udens-siltumsuknis-alpha-innotec-alira-pro-lw-300a-lux-2-0/</text>
    <extLst>
      <x:ext xmlns:xltc2="http://schemas.microsoft.com/office/spreadsheetml/2020/threadedcomments2" uri="{F7C98A9C-CBB3-438F-8F68-D28B6AF4A901}">
        <xltc2:checksum>3609450534</xltc2:checksum>
        <xltc2:hyperlink startIndex="0" length="109" url="https://sildamies.lv/products/intustrialais-gaiss-udens-siltumsuknis-alpha-innotec-alira-pro-lw-300a-lux-2-0/"/>
      </x:ext>
    </extLst>
  </threadedComment>
</ThreadedComments>
</file>

<file path=xl/threadedComments/threadedComment3.xml><?xml version="1.0" encoding="utf-8"?>
<ThreadedComments xmlns="http://schemas.microsoft.com/office/spreadsheetml/2018/threadedcomments" xmlns:x="http://schemas.openxmlformats.org/spreadsheetml/2006/main">
  <threadedComment ref="D3" dT="2024-04-17T13:23:08.13" personId="{030AD55B-CB61-44DC-ACC5-E442CDEBE567}" id="{C5A61762-3E56-4A68-9DEF-217AAAEBD785}">
    <text>https://www.sbshop.lv/katalogs/apkures-katli/sokol-apkures-katli/sokol-granulu-apkures-katli-slim-pellet/</text>
    <extLst>
      <x:ext xmlns:xltc2="http://schemas.microsoft.com/office/spreadsheetml/2020/threadedcomments2" uri="{F7C98A9C-CBB3-438F-8F68-D28B6AF4A901}">
        <xltc2:checksum>291277781</xltc2:checksum>
        <xltc2:hyperlink startIndex="0" length="105" url="https://www.sbshop.lv/katalogs/apkures-katli/sokol-apkures-katli/sokol-granulu-apkures-katli-slim-pellet/"/>
      </x:ext>
    </extLst>
  </threadedComment>
  <threadedComment ref="D4" dT="2024-04-17T13:23:12.22" personId="{030AD55B-CB61-44DC-ACC5-E442CDEBE567}" id="{8E80B370-0FE0-480B-AF79-F65690FCA835}">
    <text>https://www.sbshop.lv/katalogs/apkures-katli/sokol-apkures-katli/sokol-granulu-apkures-katli-slim-pellet/</text>
    <extLst>
      <x:ext xmlns:xltc2="http://schemas.microsoft.com/office/spreadsheetml/2020/threadedcomments2" uri="{F7C98A9C-CBB3-438F-8F68-D28B6AF4A901}">
        <xltc2:checksum>291277781</xltc2:checksum>
        <xltc2:hyperlink startIndex="0" length="105" url="https://www.sbshop.lv/katalogs/apkures-katli/sokol-apkures-katli/sokol-granulu-apkures-katli-slim-pellet/"/>
      </x:ext>
    </extLst>
  </threadedComment>
  <threadedComment ref="D5" dT="2024-04-17T13:23:16.06" personId="{030AD55B-CB61-44DC-ACC5-E442CDEBE567}" id="{2A4F4010-1A87-486D-9689-EDCBAB1E1006}">
    <text>https://www.sbshop.lv/katalogs/apkures-katli/sokol-apkures-katli/sokol-granulu-apkures-katli-slim-pellet/</text>
    <extLst>
      <x:ext xmlns:xltc2="http://schemas.microsoft.com/office/spreadsheetml/2020/threadedcomments2" uri="{F7C98A9C-CBB3-438F-8F68-D28B6AF4A901}">
        <xltc2:checksum>291277781</xltc2:checksum>
        <xltc2:hyperlink startIndex="0" length="105" url="https://www.sbshop.lv/katalogs/apkures-katli/sokol-apkures-katli/sokol-granulu-apkures-katli-slim-pellet/"/>
      </x:ext>
    </extLst>
  </threadedComment>
  <threadedComment ref="E6" dT="2024-04-17T14:09:11.16" personId="{030AD55B-CB61-44DC-ACC5-E442CDEBE567}" id="{B5C9E756-6895-46AB-8433-5FB8E902E5D5}">
    <text>https://komforts.net/product/granulu-apkures-katls-interio-15-ar-granulu-tvertni-50kg-00015</text>
    <extLst>
      <x:ext xmlns:xltc2="http://schemas.microsoft.com/office/spreadsheetml/2020/threadedcomments2" uri="{F7C98A9C-CBB3-438F-8F68-D28B6AF4A901}">
        <xltc2:checksum>1294165563</xltc2:checksum>
        <xltc2:hyperlink startIndex="0" length="91" url="https://komforts.net/product/granulu-apkures-katls-interio-15-ar-granulu-tvertni-50kg-00015"/>
      </x:ext>
    </extLst>
  </threadedComment>
  <threadedComment ref="E7" dT="2024-04-17T14:10:28.81" personId="{030AD55B-CB61-44DC-ACC5-E442CDEBE567}" id="{A202C716-24F8-466D-87BB-C7C76ABF942B}">
    <text>https://komforts.net/product/granulu-apkures-katls-pelling-25-maxi-ar-granulu-tvertni-135kg-kreisa-puse-00025ml</text>
    <extLst>
      <x:ext xmlns:xltc2="http://schemas.microsoft.com/office/spreadsheetml/2020/threadedcomments2" uri="{F7C98A9C-CBB3-438F-8F68-D28B6AF4A901}">
        <xltc2:checksum>2686019156</xltc2:checksum>
        <xltc2:hyperlink startIndex="0" length="111" url="https://komforts.net/product/granulu-apkures-katls-pelling-25-maxi-ar-granulu-tvertni-135kg-kreisa-puse-00025ml"/>
      </x:ext>
    </extLst>
  </threadedComment>
  <threadedComment ref="E8" dT="2024-04-17T14:13:05.62" personId="{030AD55B-CB61-44DC-ACC5-E442CDEBE567}" id="{379B7424-AE63-4E68-AA49-4AB85A259DBA}">
    <text>https://komforts.net/product/granulu-apkures-katls-pelling-35-maxi-ar-granulu-tvertni-151kg-kreisa-puse-00035ml</text>
    <extLst>
      <x:ext xmlns:xltc2="http://schemas.microsoft.com/office/spreadsheetml/2020/threadedcomments2" uri="{F7C98A9C-CBB3-438F-8F68-D28B6AF4A901}">
        <xltc2:checksum>4070311425</xltc2:checksum>
        <xltc2:hyperlink startIndex="0" length="111" url="https://komforts.net/product/granulu-apkures-katls-pelling-35-maxi-ar-granulu-tvertni-151kg-kreisa-puse-00035ml"/>
      </x:ext>
    </extLst>
  </threadedComment>
  <threadedComment ref="E9" dT="2024-04-17T14:30:49.97" personId="{030AD55B-CB61-44DC-ACC5-E442CDEBE567}" id="{192BC8BE-7CAC-4FD8-A2EF-61EF1018AD20}">
    <text>https://komforts.net/product/granulu-apkures-katls-pelling-50-maxi-ar-granulu-tvertni-185kg-kreisa-puse-00050ml</text>
    <extLst>
      <x:ext xmlns:xltc2="http://schemas.microsoft.com/office/spreadsheetml/2020/threadedcomments2" uri="{F7C98A9C-CBB3-438F-8F68-D28B6AF4A901}">
        <xltc2:checksum>913897114</xltc2:checksum>
        <xltc2:hyperlink startIndex="0" length="111" url="https://komforts.net/product/granulu-apkures-katls-pelling-50-maxi-ar-granulu-tvertni-185kg-kreisa-puse-00050ml"/>
      </x:ext>
    </extLst>
  </threadedComment>
  <threadedComment ref="E10" dT="2024-04-17T15:20:57.43" personId="{030AD55B-CB61-44DC-ACC5-E442CDEBE567}" id="{CDF6CDC4-7F9C-41AB-92F1-40513CAC7B79}">
    <text>https://commodus.lv/en/granulu-katli</text>
    <extLst>
      <x:ext xmlns:xltc2="http://schemas.microsoft.com/office/spreadsheetml/2020/threadedcomments2" uri="{F7C98A9C-CBB3-438F-8F68-D28B6AF4A901}">
        <xltc2:checksum>4002561616</xltc2:checksum>
        <xltc2:hyperlink startIndex="0" length="36" url="https://commodus.lv/en/granulu-katli"/>
      </x:ext>
    </extLst>
  </threadedComment>
  <threadedComment ref="E11" dT="2024-04-17T15:21:07.03" personId="{030AD55B-CB61-44DC-ACC5-E442CDEBE567}" id="{AB1C989A-AA13-4607-B0BF-443FEBF8283B}">
    <text>https://commodus.lv/en/granulu-katli</text>
    <extLst>
      <x:ext xmlns:xltc2="http://schemas.microsoft.com/office/spreadsheetml/2020/threadedcomments2" uri="{F7C98A9C-CBB3-438F-8F68-D28B6AF4A901}">
        <xltc2:checksum>4002561616</xltc2:checksum>
        <xltc2:hyperlink startIndex="0" length="36" url="https://commodus.lv/en/granulu-katli"/>
      </x:ext>
    </extLst>
  </threadedComment>
  <threadedComment ref="E12" dT="2024-04-17T15:21:11.04" personId="{030AD55B-CB61-44DC-ACC5-E442CDEBE567}" id="{1B79D728-79F8-49D7-B93E-0505B5A0D78E}">
    <text>https://commodus.lv/en/granulu-katli</text>
    <extLst>
      <x:ext xmlns:xltc2="http://schemas.microsoft.com/office/spreadsheetml/2020/threadedcomments2" uri="{F7C98A9C-CBB3-438F-8F68-D28B6AF4A901}">
        <xltc2:checksum>4002561616</xltc2:checksum>
        <xltc2:hyperlink startIndex="0" length="36" url="https://commodus.lv/en/granulu-katli"/>
      </x:ext>
    </extLst>
  </threadedComment>
  <threadedComment ref="E13" dT="2024-04-17T15:21:14.49" personId="{030AD55B-CB61-44DC-ACC5-E442CDEBE567}" id="{35030C2F-5300-481C-9A5A-907254A4599F}">
    <text>https://commodus.lv/en/granulu-katli</text>
    <extLst>
      <x:ext xmlns:xltc2="http://schemas.microsoft.com/office/spreadsheetml/2020/threadedcomments2" uri="{F7C98A9C-CBB3-438F-8F68-D28B6AF4A901}">
        <xltc2:checksum>4002561616</xltc2:checksum>
        <xltc2:hyperlink startIndex="0" length="36" url="https://commodus.lv/en/granulu-katli"/>
      </x:ext>
    </extLst>
  </threadedComment>
  <threadedComment ref="E14" dT="2024-04-17T15:21:19.12" personId="{030AD55B-CB61-44DC-ACC5-E442CDEBE567}" id="{C5E6AB07-0D9E-47D1-A58F-43CA33B0AB24}">
    <text>https://commodus.lv/en/granulu-katli</text>
    <extLst>
      <x:ext xmlns:xltc2="http://schemas.microsoft.com/office/spreadsheetml/2020/threadedcomments2" uri="{F7C98A9C-CBB3-438F-8F68-D28B6AF4A901}">
        <xltc2:checksum>4002561616</xltc2:checksum>
        <xltc2:hyperlink startIndex="0" length="36" url="https://commodus.lv/en/granulu-katli"/>
      </x:ext>
    </extLst>
  </threadedComment>
  <threadedComment ref="E15" dT="2024-04-17T15:28:01.51" personId="{030AD55B-CB61-44DC-ACC5-E442CDEBE567}" id="{31E71E4E-D6CA-483E-BD95-A2EC6B6E236E}">
    <text>https://commodus.lv/en/opop-granulu-katli</text>
    <extLst>
      <x:ext xmlns:xltc2="http://schemas.microsoft.com/office/spreadsheetml/2020/threadedcomments2" uri="{F7C98A9C-CBB3-438F-8F68-D28B6AF4A901}">
        <xltc2:checksum>3474295782</xltc2:checksum>
        <xltc2:hyperlink startIndex="0" length="41" url="https://commodus.lv/en/opop-granulu-katli"/>
      </x:ext>
    </extLst>
  </threadedComment>
  <threadedComment ref="E16" dT="2024-04-17T15:28:05.54" personId="{030AD55B-CB61-44DC-ACC5-E442CDEBE567}" id="{2A265BB2-72D9-4F1E-B605-433F62BBA05A}">
    <text>https://commodus.lv/en/opop-granulu-katli</text>
    <extLst>
      <x:ext xmlns:xltc2="http://schemas.microsoft.com/office/spreadsheetml/2020/threadedcomments2" uri="{F7C98A9C-CBB3-438F-8F68-D28B6AF4A901}">
        <xltc2:checksum>3474295782</xltc2:checksum>
        <xltc2:hyperlink startIndex="0" length="41" url="https://commodus.lv/en/opop-granulu-katli"/>
      </x:ext>
    </extLst>
  </threadedComment>
  <threadedComment ref="E17" dT="2024-04-17T15:28:09.44" personId="{030AD55B-CB61-44DC-ACC5-E442CDEBE567}" id="{71A94A93-457B-494F-8B88-A2519A486DDF}">
    <text>https://commodus.lv/en/opop-granulu-katli</text>
    <extLst>
      <x:ext xmlns:xltc2="http://schemas.microsoft.com/office/spreadsheetml/2020/threadedcomments2" uri="{F7C98A9C-CBB3-438F-8F68-D28B6AF4A901}">
        <xltc2:checksum>3474295782</xltc2:checksum>
        <xltc2:hyperlink startIndex="0" length="41" url="https://commodus.lv/en/opop-granulu-katli"/>
      </x:ext>
    </extLst>
  </threadedComment>
  <threadedComment ref="E18" dT="2024-04-17T15:28:12.54" personId="{030AD55B-CB61-44DC-ACC5-E442CDEBE567}" id="{327F0D7D-3ECD-451D-A507-8EBF1AA5A1FF}">
    <text>https://commodus.lv/en/opop-granulu-katli</text>
    <extLst>
      <x:ext xmlns:xltc2="http://schemas.microsoft.com/office/spreadsheetml/2020/threadedcomments2" uri="{F7C98A9C-CBB3-438F-8F68-D28B6AF4A901}">
        <xltc2:checksum>3474295782</xltc2:checksum>
        <xltc2:hyperlink startIndex="0" length="41" url="https://commodus.lv/en/opop-granulu-katli"/>
      </x:ext>
    </extLst>
  </threadedComment>
</ThreadedComments>
</file>

<file path=xl/threadedComments/threadedComment4.xml><?xml version="1.0" encoding="utf-8"?>
<ThreadedComments xmlns="http://schemas.microsoft.com/office/spreadsheetml/2018/threadedcomments" xmlns:x="http://schemas.openxmlformats.org/spreadsheetml/2006/main">
  <threadedComment ref="D3" dT="2024-04-17T14:45:25.34" personId="{030AD55B-CB61-44DC-ACC5-E442CDEBE567}" id="{43960E1F-6483-4F92-92A8-1CC49562778A}">
    <text>https://komforts.net/product/kondensacijas-katls-gc7000iw-42-p-erp-condens-cirkulacijas-7736901316</text>
    <extLst>
      <x:ext xmlns:xltc2="http://schemas.microsoft.com/office/spreadsheetml/2020/threadedcomments2" uri="{F7C98A9C-CBB3-438F-8F68-D28B6AF4A901}">
        <xltc2:checksum>2870620147</xltc2:checksum>
        <xltc2:hyperlink startIndex="0" length="98" url="https://komforts.net/product/kondensacijas-katls-gc7000iw-42-p-erp-condens-cirkulacijas-7736901316"/>
      </x:ext>
    </extLst>
  </threadedComment>
  <threadedComment ref="D4" dT="2024-04-17T14:47:33.31" personId="{030AD55B-CB61-44DC-ACC5-E442CDEBE567}" id="{C1F5CD12-BDB2-48E0-9B8A-B74EBE74FD88}">
    <text>https://komforts.net/product/kondensacijas-apkures-katls-vitocrossal-ci-280-kw-kaskades-vieniba-z017777</text>
    <extLst>
      <x:ext xmlns:xltc2="http://schemas.microsoft.com/office/spreadsheetml/2020/threadedcomments2" uri="{F7C98A9C-CBB3-438F-8F68-D28B6AF4A901}">
        <xltc2:checksum>923819262</xltc2:checksum>
        <xltc2:hyperlink startIndex="0" length="103" url="https://komforts.net/product/kondensacijas-apkures-katls-vitocrossal-ci-280-kw-kaskades-vieniba-z017777"/>
      </x:ext>
    </extLst>
  </threadedComment>
  <threadedComment ref="D5" dT="2024-04-17T14:50:58.32" personId="{030AD55B-CB61-44DC-ACC5-E442CDEBE567}" id="{08FA67AB-666E-48AC-A0FE-1CDE7F6EC903}">
    <text>https://komforts.net/product/kondensacijas-katls-gc7000iw-35-p-erp-condens-cirkulacijas-7736901315</text>
    <extLst>
      <x:ext xmlns:xltc2="http://schemas.microsoft.com/office/spreadsheetml/2020/threadedcomments2" uri="{F7C98A9C-CBB3-438F-8F68-D28B6AF4A901}">
        <xltc2:checksum>3336306565</xltc2:checksum>
        <xltc2:hyperlink startIndex="0" length="98" url="https://komforts.net/product/kondensacijas-katls-gc7000iw-35-p-erp-condens-cirkulacijas-7736901315"/>
      </x:ext>
    </extLst>
  </threadedComment>
  <threadedComment ref="D6" dT="2024-04-17T14:50:46.00" personId="{030AD55B-CB61-44DC-ACC5-E442CDEBE567}" id="{ABBEF1AE-01B3-46BB-89A3-433CF92B057B}">
    <text>https://komforts.net/product/kondensacijas-apkures-katls-vitocrossal-cib-200-kw-kaskades-vieniba-z017789</text>
    <extLst>
      <x:ext xmlns:xltc2="http://schemas.microsoft.com/office/spreadsheetml/2020/threadedcomments2" uri="{F7C98A9C-CBB3-438F-8F68-D28B6AF4A901}">
        <xltc2:checksum>1367523899</xltc2:checksum>
        <xltc2:hyperlink startIndex="0" length="104" url="https://komforts.net/product/kondensacijas-apkures-katls-vitocrossal-cib-200-kw-kaskades-vieniba-z017789"/>
      </x:ext>
    </extLst>
  </threadedComment>
  <threadedComment ref="E7" dT="2024-04-18T05:27:23.25" personId="{030AD55B-CB61-44DC-ACC5-E442CDEBE567}" id="{031168A9-AC01-4986-B654-A63195215E52}">
    <text>https://apkureskatli.lv/apkures-katli/gazes-katli/sadzives-katli/gazes-katls-bluehelix-tech-18a/</text>
    <extLst>
      <x:ext xmlns:xltc2="http://schemas.microsoft.com/office/spreadsheetml/2020/threadedcomments2" uri="{F7C98A9C-CBB3-438F-8F68-D28B6AF4A901}">
        <xltc2:checksum>3155216719</xltc2:checksum>
        <xltc2:hyperlink startIndex="0" length="96" url="https://apkureskatli.lv/apkures-katli/gazes-katli/sadzives-katli/gazes-katls-bluehelix-tech-18a/"/>
      </x:ext>
    </extLst>
  </threadedComment>
  <threadedComment ref="E8" dT="2024-04-18T05:26:39.90" personId="{030AD55B-CB61-44DC-ACC5-E442CDEBE567}" id="{1AC63FBB-BE75-41D9-A88F-F57F789143FA}">
    <text>https://apkureskatli.lv/apkures-katli/gazes-katli/bluehelix-hitech-rrt-28c/</text>
    <extLst>
      <x:ext xmlns:xltc2="http://schemas.microsoft.com/office/spreadsheetml/2020/threadedcomments2" uri="{F7C98A9C-CBB3-438F-8F68-D28B6AF4A901}">
        <xltc2:checksum>3195726044</xltc2:checksum>
        <xltc2:hyperlink startIndex="0" length="75" url="https://apkureskatli.lv/apkures-katli/gazes-katli/bluehelix-hitech-rrt-28c/"/>
      </x:ext>
    </extLst>
  </threadedComment>
  <threadedComment ref="F9" dT="2024-04-18T05:28:18.37" personId="{030AD55B-CB61-44DC-ACC5-E442CDEBE567}" id="{B6CD4241-67A1-4B7B-A543-FB990FC7E856}">
    <text>https://prof.lv/gc2300iw-bosch-condens-gc2300iw-15p-kondensacijas-gazes-apkures-katls-15kw-7736901536?jauda_kw=118764&amp;piesleguma_veids=120039</text>
    <extLst>
      <x:ext xmlns:xltc2="http://schemas.microsoft.com/office/spreadsheetml/2020/threadedcomments2" uri="{F7C98A9C-CBB3-438F-8F68-D28B6AF4A901}">
        <xltc2:checksum>623446549</xltc2:checksum>
        <xltc2:hyperlink startIndex="0" length="141" url="https://prof.lv/gc2300iw-bosch-condens-gc2300iw-15p-kondensacijas-gazes-apkures-katls-15kw-7736901536?jauda_kw=118764&amp;piesleguma_veids=120039"/>
      </x:ext>
    </extLst>
  </threadedComment>
  <threadedComment ref="F10" dT="2024-04-18T05:34:01.69" personId="{030AD55B-CB61-44DC-ACC5-E442CDEBE567}" id="{470C6DC2-E9F3-4DD9-A856-E882EAE01876}">
    <text>https://prof.lv/gc9000i-w-bosch-condens-gc9000i-w-20e-kondensacijas-gazes-apkures-katls-20kw-7736701320?jauda_kw=118766</text>
    <extLst>
      <x:ext xmlns:xltc2="http://schemas.microsoft.com/office/spreadsheetml/2020/threadedcomments2" uri="{F7C98A9C-CBB3-438F-8F68-D28B6AF4A901}">
        <xltc2:checksum>3865529776</xltc2:checksum>
        <xltc2:hyperlink startIndex="0" length="119" url="https://prof.lv/gc9000i-w-bosch-condens-gc9000i-w-20e-kondensacijas-gazes-apkures-katls-20kw-7736701320?jauda_kw=118766"/>
      </x:ext>
    </extLst>
  </threadedComment>
  <threadedComment ref="F11" dT="2024-04-18T06:40:54.35" personId="{030AD55B-CB61-44DC-ACC5-E442CDEBE567}" id="{1481AC88-6057-4495-AE97-0A12D3D8DF19}">
    <text>https://prof.lv/gc9000i-w-bosch-condens-gc9000i-w-20e-kondensacijas-gazes-apkures-katls-20kw-7736701320?jauda_kw=120043</text>
    <extLst>
      <x:ext xmlns:xltc2="http://schemas.microsoft.com/office/spreadsheetml/2020/threadedcomments2" uri="{F7C98A9C-CBB3-438F-8F68-D28B6AF4A901}">
        <xltc2:checksum>1784208033</xltc2:checksum>
        <xltc2:hyperlink startIndex="0" length="119" url="https://prof.lv/gc9000i-w-bosch-condens-gc9000i-w-20e-kondensacijas-gazes-apkures-katls-20kw-7736701320?jauda_kw=120043"/>
      </x:ext>
    </extLst>
  </threadedComment>
  <threadedComment ref="F12" dT="2024-04-18T06:41:23.94" personId="{030AD55B-CB61-44DC-ACC5-E442CDEBE567}" id="{CEC295B5-02EB-4563-942D-3CA1F71D6FD2}">
    <text>https://prof.lv/gc9000i-w-bosch-condens-gc9000i-w-20e-kondensacijas-gazes-apkures-katls-20kw-7736701320?jauda_kw=120044</text>
    <extLst>
      <x:ext xmlns:xltc2="http://schemas.microsoft.com/office/spreadsheetml/2020/threadedcomments2" uri="{F7C98A9C-CBB3-438F-8F68-D28B6AF4A901}">
        <xltc2:checksum>1784387489</xltc2:checksum>
        <xltc2:hyperlink startIndex="0" length="119" url="https://prof.lv/gc9000i-w-bosch-condens-gc9000i-w-20e-kondensacijas-gazes-apkures-katls-20kw-7736701320?jauda_kw=120044"/>
      </x:ext>
    </extLst>
  </threadedComment>
  <threadedComment ref="F13" dT="2024-04-18T06:42:48.52" personId="{030AD55B-CB61-44DC-ACC5-E442CDEBE567}" id="{4B1DB781-FB16-4E5D-A6E8-3958AE122163}">
    <text>https://prof.lv/gc9000i-w-bosch-condens-gc9000i-w-20e-kondensacijas-gazes-apkures-katls-20kw-7736701320?jauda_kw=120008</text>
    <extLst>
      <x:ext xmlns:xltc2="http://schemas.microsoft.com/office/spreadsheetml/2020/threadedcomments2" uri="{F7C98A9C-CBB3-438F-8F68-D28B6AF4A901}">
        <xltc2:checksum>3596374783</xltc2:checksum>
        <xltc2:hyperlink startIndex="0" length="119" url="https://prof.lv/gc9000i-w-bosch-condens-gc9000i-w-20e-kondensacijas-gazes-apkures-katls-20kw-7736701320?jauda_kw=120008"/>
      </x:ext>
    </extLst>
  </threadedComment>
  <threadedComment ref="G14" dT="2024-04-18T06:45:52.35" personId="{030AD55B-CB61-44DC-ACC5-E442CDEBE567}" id="{9AB3A3F1-C1E9-46B7-9745-960CF11E1202}">
    <text>https://www.sbsiltumtehnika.lv/lv/precu-katalogs/-1708618</text>
    <extLst>
      <x:ext xmlns:xltc2="http://schemas.microsoft.com/office/spreadsheetml/2020/threadedcomments2" uri="{F7C98A9C-CBB3-438F-8F68-D28B6AF4A901}">
        <xltc2:checksum>2851198365</xltc2:checksum>
        <xltc2:hyperlink startIndex="0" length="57" url="https://www.sbsiltumtehnika.lv/lv/precu-katalogs/-1708618"/>
      </x:ext>
    </extLst>
  </threadedComment>
  <threadedComment ref="G15" dT="2024-04-18T06:45:55.77" personId="{030AD55B-CB61-44DC-ACC5-E442CDEBE567}" id="{C6F664BC-5F20-4C6B-B5A6-93466F8C43AC}">
    <text>https://www.sbsiltumtehnika.lv/lv/precu-katalogs/-1708618</text>
    <extLst>
      <x:ext xmlns:xltc2="http://schemas.microsoft.com/office/spreadsheetml/2020/threadedcomments2" uri="{F7C98A9C-CBB3-438F-8F68-D28B6AF4A901}">
        <xltc2:checksum>2851198365</xltc2:checksum>
        <xltc2:hyperlink startIndex="0" length="57" url="https://www.sbsiltumtehnika.lv/lv/precu-katalogs/-1708618"/>
      </x:ext>
    </extLst>
  </threadedComment>
  <threadedComment ref="G16" dT="2024-04-18T06:46:00.65" personId="{030AD55B-CB61-44DC-ACC5-E442CDEBE567}" id="{ACEE19C3-F752-47E6-9BB9-0D9832CC5EF9}">
    <text>https://www.sbsiltumtehnika.lv/lv/precu-katalogs/-1708618</text>
    <extLst>
      <x:ext xmlns:xltc2="http://schemas.microsoft.com/office/spreadsheetml/2020/threadedcomments2" uri="{F7C98A9C-CBB3-438F-8F68-D28B6AF4A901}">
        <xltc2:checksum>2851198365</xltc2:checksum>
        <xltc2:hyperlink startIndex="0" length="57" url="https://www.sbsiltumtehnika.lv/lv/precu-katalogs/-1708618"/>
      </x:ext>
    </extLst>
  </threadedComment>
  <threadedComment ref="G17" dT="2024-04-18T06:46:07.67" personId="{030AD55B-CB61-44DC-ACC5-E442CDEBE567}" id="{B56866E2-332F-4082-8AC7-4E04D294384B}">
    <text>https://www.sbsiltumtehnika.lv/lv/precu-katalogs/-1708618</text>
    <extLst>
      <x:ext xmlns:xltc2="http://schemas.microsoft.com/office/spreadsheetml/2020/threadedcomments2" uri="{F7C98A9C-CBB3-438F-8F68-D28B6AF4A901}">
        <xltc2:checksum>2851198365</xltc2:checksum>
        <xltc2:hyperlink startIndex="0" length="57" url="https://www.sbsiltumtehnika.lv/lv/precu-katalogs/-1708618"/>
      </x:ext>
    </extLst>
  </threadedComment>
</ThreadedComments>
</file>

<file path=xl/threadedComments/threadedComment5.xml><?xml version="1.0" encoding="utf-8"?>
<ThreadedComments xmlns="http://schemas.microsoft.com/office/spreadsheetml/2018/threadedcomments" xmlns:x="http://schemas.openxmlformats.org/spreadsheetml/2006/main">
  <threadedComment ref="D3" dT="2024-04-16T18:47:25.88" personId="{030AD55B-CB61-44DC-ACC5-E442CDEBE567}" id="{402747DF-0A90-4277-8C55-1834F26851A6}">
    <text>https://www.siltumacentrs.lv/apkures-katli-7/apkures-katli-4/384</text>
    <extLst>
      <x:ext xmlns:xltc2="http://schemas.microsoft.com/office/spreadsheetml/2020/threadedcomments2" uri="{F7C98A9C-CBB3-438F-8F68-D28B6AF4A901}">
        <xltc2:checksum>2488185881</xltc2:checksum>
        <xltc2:hyperlink startIndex="0" length="64" url="https://www.siltumacentrs.lv/apkures-katli-7/apkures-katli-4/384"/>
      </x:ext>
    </extLst>
  </threadedComment>
  <threadedComment ref="D4" dT="2024-04-16T18:48:25.41" personId="{030AD55B-CB61-44DC-ACC5-E442CDEBE567}" id="{5562D5AD-C586-4EC5-A684-AB7EBDE8F6CB}">
    <text>https://www.siltumacentrs.lv/apkures-katli-7/apkures-katli-4/179</text>
    <extLst>
      <x:ext xmlns:xltc2="http://schemas.microsoft.com/office/spreadsheetml/2020/threadedcomments2" uri="{F7C98A9C-CBB3-438F-8F68-D28B6AF4A901}">
        <xltc2:checksum>2713810683</xltc2:checksum>
        <xltc2:hyperlink startIndex="0" length="64" url="https://www.siltumacentrs.lv/apkures-katli-7/apkures-katli-4/179"/>
      </x:ext>
    </extLst>
  </threadedComment>
  <threadedComment ref="D5" dT="2024-04-16T18:49:50.52" personId="{030AD55B-CB61-44DC-ACC5-E442CDEBE567}" id="{96717EEF-10E4-4A53-B88D-089DEBE4AC4A}">
    <text>https://www.siltumacentrs.lv/apkures-katli-7/apkures-katli-4/242</text>
    <extLst>
      <x:ext xmlns:xltc2="http://schemas.microsoft.com/office/spreadsheetml/2020/threadedcomments2" uri="{F7C98A9C-CBB3-438F-8F68-D28B6AF4A901}">
        <xltc2:checksum>1342767188</xltc2:checksum>
        <xltc2:hyperlink startIndex="0" length="64" url="https://www.siltumacentrs.lv/apkures-katli-7/apkures-katli-4/242"/>
      </x:ext>
    </extLst>
  </threadedComment>
  <threadedComment ref="D6" dT="2024-04-16T18:50:04.56" personId="{030AD55B-CB61-44DC-ACC5-E442CDEBE567}" id="{55E1B975-7785-4171-9017-CCF26650CFC2}">
    <text>https://www.siltumacentrs.lv/apkures-katli-7/apkures-katli-4/413</text>
    <extLst>
      <x:ext xmlns:xltc2="http://schemas.microsoft.com/office/spreadsheetml/2020/threadedcomments2" uri="{F7C98A9C-CBB3-438F-8F68-D28B6AF4A901}">
        <xltc2:checksum>1116753930</xltc2:checksum>
        <xltc2:hyperlink startIndex="0" length="64" url="https://www.siltumacentrs.lv/apkures-katli-7/apkures-katli-4/413"/>
      </x:ext>
    </extLst>
  </threadedComment>
  <threadedComment ref="D7" dT="2024-04-16T18:50:25.30" personId="{030AD55B-CB61-44DC-ACC5-E442CDEBE567}" id="{190C33C2-E286-4885-BDA9-643A9FD52B33}">
    <text>https://www.siltumacentrs.lv/apkures-katli-7/apkures-katli-4/417</text>
    <extLst>
      <x:ext xmlns:xltc2="http://schemas.microsoft.com/office/spreadsheetml/2020/threadedcomments2" uri="{F7C98A9C-CBB3-438F-8F68-D28B6AF4A901}">
        <xltc2:checksum>1116924938</xltc2:checksum>
        <xltc2:hyperlink startIndex="0" length="64" url="https://www.siltumacentrs.lv/apkures-katli-7/apkures-katli-4/417"/>
      </x:ext>
    </extLst>
  </threadedComment>
  <threadedComment ref="D8" dT="2024-04-16T18:52:59.84" personId="{030AD55B-CB61-44DC-ACC5-E442CDEBE567}" id="{A36D7B3A-ADCC-4695-9573-ED57F7120100}">
    <text>https://www.siltumacentrs.lv/apkures-katli-7/apkures-katli-4/454</text>
    <extLst>
      <x:ext xmlns:xltc2="http://schemas.microsoft.com/office/spreadsheetml/2020/threadedcomments2" uri="{F7C98A9C-CBB3-438F-8F68-D28B6AF4A901}">
        <xltc2:checksum>4271053908</xltc2:checksum>
        <xltc2:hyperlink startIndex="0" length="64" url="https://www.siltumacentrs.lv/apkures-katli-7/apkures-katli-4/454"/>
      </x:ext>
    </extLst>
  </threadedComment>
  <threadedComment ref="D9" dT="2024-04-16T18:53:47.29" personId="{030AD55B-CB61-44DC-ACC5-E442CDEBE567}" id="{00AE1978-059F-4409-A251-4D12087A9C7C}">
    <text>https://www.siltumacentrs.lv/apkures-katli-7/apkures-katli-4/456</text>
    <extLst>
      <x:ext xmlns:xltc2="http://schemas.microsoft.com/office/spreadsheetml/2020/threadedcomments2" uri="{F7C98A9C-CBB3-438F-8F68-D28B6AF4A901}">
        <xltc2:checksum>4270998100</xltc2:checksum>
        <xltc2:hyperlink startIndex="0" length="64" url="https://www.siltumacentrs.lv/apkures-katli-7/apkures-katli-4/456"/>
      </x:ext>
    </extLst>
  </threadedComment>
  <threadedComment ref="D10" dT="2024-04-16T18:55:10.46" personId="{030AD55B-CB61-44DC-ACC5-E442CDEBE567}" id="{878B3F84-4F89-4EE5-8F25-65E19BD057FD}">
    <text>https://www.siltumacentrs.lv/apkures-katli-7/apkures-katli-4/181</text>
    <extLst>
      <x:ext xmlns:xltc2="http://schemas.microsoft.com/office/spreadsheetml/2020/threadedcomments2" uri="{F7C98A9C-CBB3-438F-8F68-D28B6AF4A901}">
        <xltc2:checksum>2495876377</xltc2:checksum>
        <xltc2:hyperlink startIndex="0" length="64" url="https://www.siltumacentrs.lv/apkures-katli-7/apkures-katli-4/181"/>
      </x:ext>
    </extLst>
  </threadedComment>
  <threadedComment ref="D11" dT="2024-04-16T18:55:49.54" personId="{030AD55B-CB61-44DC-ACC5-E442CDEBE567}" id="{FE10A450-43B9-4A77-9D27-229F1E7F3AF2}">
    <text>https://www.siltumacentrs.lv/apkures-katli-7/apkures-katli-4/414</text>
    <extLst>
      <x:ext xmlns:xltc2="http://schemas.microsoft.com/office/spreadsheetml/2020/threadedcomments2" uri="{F7C98A9C-CBB3-438F-8F68-D28B6AF4A901}">
        <xltc2:checksum>1116937482</xltc2:checksum>
        <xltc2:hyperlink startIndex="0" length="64" url="https://www.siltumacentrs.lv/apkures-katli-7/apkures-katli-4/414"/>
      </x:ext>
    </extLst>
  </threadedComment>
  <threadedComment ref="D12" dT="2024-04-16T18:56:36.34" personId="{030AD55B-CB61-44DC-ACC5-E442CDEBE567}" id="{608341F4-B3DB-427E-977A-68BFC2606D38}">
    <text>https://www.siltumacentrs.lv/apkures-katli-7/apkures-katli-4/182</text>
    <extLst>
      <x:ext xmlns:xltc2="http://schemas.microsoft.com/office/spreadsheetml/2020/threadedcomments2" uri="{F7C98A9C-CBB3-438F-8F68-D28B6AF4A901}">
        <xltc2:checksum>2496003097</xltc2:checksum>
        <xltc2:hyperlink startIndex="0" length="64" url="https://www.siltumacentrs.lv/apkures-katli-7/apkures-katli-4/182"/>
      </x:ext>
    </extLst>
  </threadedComment>
  <threadedComment ref="D13" dT="2024-04-16T18:56:59.56" personId="{030AD55B-CB61-44DC-ACC5-E442CDEBE567}" id="{0AF8C7BF-C66C-493A-9B50-FC1EB9E10F4C}">
    <text>https://www.siltumacentrs.lv/apkures-katli-7/apkures-katli-4/229</text>
    <extLst>
      <x:ext xmlns:xltc2="http://schemas.microsoft.com/office/spreadsheetml/2020/threadedcomments2" uri="{F7C98A9C-CBB3-438F-8F68-D28B6AF4A901}">
        <xltc2:checksum>2987231397</xltc2:checksum>
        <xltc2:hyperlink startIndex="0" length="64" url="https://www.siltumacentrs.lv/apkures-katli-7/apkures-katli-4/229"/>
      </x:ext>
    </extLst>
  </threadedComment>
  <threadedComment ref="D14" dT="2024-04-16T18:58:29.00" personId="{030AD55B-CB61-44DC-ACC5-E442CDEBE567}" id="{8B890487-E97D-4F98-9549-97C9C435077A}">
    <text>https://www.siltumacentrs.lv/apkures-katli-7/apkures-katli-4/387</text>
    <extLst>
      <x:ext xmlns:xltc2="http://schemas.microsoft.com/office/spreadsheetml/2020/threadedcomments2" uri="{F7C98A9C-CBB3-438F-8F68-D28B6AF4A901}">
        <xltc2:checksum>2488223001</xltc2:checksum>
        <xltc2:hyperlink startIndex="0" length="64" url="https://www.siltumacentrs.lv/apkures-katli-7/apkures-katli-4/387"/>
      </x:ext>
    </extLst>
  </threadedComment>
  <threadedComment ref="D15" dT="2024-04-16T19:02:15.95" personId="{030AD55B-CB61-44DC-ACC5-E442CDEBE567}" id="{840DF0D3-CE3A-4358-9A1F-9D2E595F6397}">
    <text>https://www.siltumacentrs.lv/apkures-katli-7/apkures-katli-4/386</text>
    <extLst>
      <x:ext xmlns:xltc2="http://schemas.microsoft.com/office/spreadsheetml/2020/threadedcomments2" uri="{F7C98A9C-CBB3-438F-8F68-D28B6AF4A901}">
        <xltc2:checksum>2488265241</xltc2:checksum>
        <xltc2:hyperlink startIndex="0" length="64" url="https://www.siltumacentrs.lv/apkures-katli-7/apkures-katli-4/386"/>
      </x:ext>
    </extLst>
  </threadedComment>
  <threadedComment ref="D16" dT="2024-04-16T19:01:38.53" personId="{030AD55B-CB61-44DC-ACC5-E442CDEBE567}" id="{521A1847-89F8-42AC-AA30-7D08B30C7989}">
    <text>https://www.siltumacentrs.lv/apkures-katli-7/apkures-katli-4/457</text>
    <extLst>
      <x:ext xmlns:xltc2="http://schemas.microsoft.com/office/spreadsheetml/2020/threadedcomments2" uri="{F7C98A9C-CBB3-438F-8F68-D28B6AF4A901}">
        <xltc2:checksum>4271041876</xltc2:checksum>
        <xltc2:hyperlink startIndex="0" length="64" url="https://www.siltumacentrs.lv/apkures-katli-7/apkures-katli-4/457"/>
      </x:ext>
    </extLst>
  </threadedComment>
  <threadedComment ref="D17" dT="2024-04-16T19:02:33.77" personId="{030AD55B-CB61-44DC-ACC5-E442CDEBE567}" id="{8F3A735B-90EB-4BC9-92E8-3DE49377438D}">
    <text>https://www.siltumacentrs.lv/apkures-katli-7/apkures-katli-4/450</text>
    <extLst>
      <x:ext xmlns:xltc2="http://schemas.microsoft.com/office/spreadsheetml/2020/threadedcomments2" uri="{F7C98A9C-CBB3-438F-8F68-D28B6AF4A901}">
        <xltc2:checksum>4270956628</xltc2:checksum>
        <xltc2:hyperlink startIndex="0" length="64" url="https://www.siltumacentrs.lv/apkures-katli-7/apkures-katli-4/450"/>
      </x:ext>
    </extLst>
  </threadedComment>
  <threadedComment ref="D18" dT="2024-04-16T19:03:52.82" personId="{030AD55B-CB61-44DC-ACC5-E442CDEBE567}" id="{C6FD2702-D2C4-40DC-8E67-F3C7BF76CE71}">
    <text>https://www.siltumacentrs.lv/apkures-katli-7/apkures-katli-4/451</text>
    <extLst>
      <x:ext xmlns:xltc2="http://schemas.microsoft.com/office/spreadsheetml/2020/threadedcomments2" uri="{F7C98A9C-CBB3-438F-8F68-D28B6AF4A901}">
        <xltc2:checksum>4270919508</xltc2:checksum>
        <xltc2:hyperlink startIndex="0" length="64" url="https://www.siltumacentrs.lv/apkures-katli-7/apkures-katli-4/451"/>
      </x:ext>
    </extLst>
  </threadedComment>
  <threadedComment ref="D19" dT="2024-04-16T19:05:01.79" personId="{030AD55B-CB61-44DC-ACC5-E442CDEBE567}" id="{1B9B4564-1B74-4E64-8E29-65153BF961E0}">
    <text>https://www.siltumacentrs.lv/apkures-katli-7/apkures-katli-4/220</text>
    <extLst>
      <x:ext xmlns:xltc2="http://schemas.microsoft.com/office/spreadsheetml/2020/threadedcomments2" uri="{F7C98A9C-CBB3-438F-8F68-D28B6AF4A901}">
        <xltc2:checksum>2986893221</xltc2:checksum>
        <xltc2:hyperlink startIndex="0" length="64" url="https://www.siltumacentrs.lv/apkures-katli-7/apkures-katli-4/220"/>
      </x:ext>
    </extLst>
  </threadedComment>
  <threadedComment ref="D20" dT="2024-04-16T19:05:15.42" personId="{030AD55B-CB61-44DC-ACC5-E442CDEBE567}" id="{0DA76B11-FA5C-4F13-943C-BEE14C3E08D6}">
    <text>https://www.siltumacentrs.lv/apkures-katli-7/apkures-katli-4/452</text>
    <extLst>
      <x:ext xmlns:xltc2="http://schemas.microsoft.com/office/spreadsheetml/2020/threadedcomments2" uri="{F7C98A9C-CBB3-438F-8F68-D28B6AF4A901}">
        <xltc2:checksum>4270915156</xltc2:checksum>
        <xltc2:hyperlink startIndex="0" length="64" url="https://www.siltumacentrs.lv/apkures-katli-7/apkures-katli-4/452"/>
      </x:ext>
    </extLst>
  </threadedComment>
  <threadedComment ref="D21" dT="2024-04-16T19:06:09.10" personId="{030AD55B-CB61-44DC-ACC5-E442CDEBE567}" id="{53493A15-EAB6-4120-B096-72520ED0EC81}">
    <text>https://www.siltumacentrs.lv/apkures-katli-7/apkures-katli-4/222</text>
    <extLst>
      <x:ext xmlns:xltc2="http://schemas.microsoft.com/office/spreadsheetml/2020/threadedcomments2" uri="{F7C98A9C-CBB3-438F-8F68-D28B6AF4A901}">
        <xltc2:checksum>2986934693</xltc2:checksum>
        <xltc2:hyperlink startIndex="0" length="64" url="https://www.siltumacentrs.lv/apkures-katli-7/apkures-katli-4/222"/>
      </x:ext>
    </extLst>
  </threadedComment>
  <threadedComment ref="D22" dT="2024-04-16T19:06:55.39" personId="{030AD55B-CB61-44DC-ACC5-E442CDEBE567}" id="{DA7657D0-163D-47F8-A881-5DC836C2EB2D}">
    <text>https://www.siltumacentrs.lv/apkures-katli-7/apkures-katli-4/453</text>
    <extLst>
      <x:ext xmlns:xltc2="http://schemas.microsoft.com/office/spreadsheetml/2020/threadedcomments2" uri="{F7C98A9C-CBB3-438F-8F68-D28B6AF4A901}">
        <xltc2:checksum>4270870868</xltc2:checksum>
        <xltc2:hyperlink startIndex="0" length="64" url="https://www.siltumacentrs.lv/apkures-katli-7/apkures-katli-4/453"/>
      </x:ext>
    </extLst>
  </threadedComment>
  <threadedComment ref="D23" dT="2024-04-16T19:07:24.95" personId="{030AD55B-CB61-44DC-ACC5-E442CDEBE567}" id="{10CBCD73-4E4D-4742-930F-D734ED89FDDB}">
    <text>https://www.siltumacentrs.lv/apkures-katli-7/apkures-katli-4/416</text>
    <extLst>
      <x:ext xmlns:xltc2="http://schemas.microsoft.com/office/spreadsheetml/2020/threadedcomments2" uri="{F7C98A9C-CBB3-438F-8F68-D28B6AF4A901}">
        <xltc2:checksum>1116881674</xltc2:checksum>
        <xltc2:hyperlink startIndex="0" length="64" url="https://www.siltumacentrs.lv/apkures-katli-7/apkures-katli-4/416"/>
      </x:ext>
    </extLst>
  </threadedComment>
  <threadedComment ref="E24" dT="2024-04-17T12:24:42.04" personId="{030AD55B-CB61-44DC-ACC5-E442CDEBE567}" id="{BBA16249-21FA-43C6-8534-6780043C89E0}">
    <text>https://commodus.lv/terauda-malkas-katls-opop-ecomax</text>
    <extLst>
      <x:ext xmlns:xltc2="http://schemas.microsoft.com/office/spreadsheetml/2020/threadedcomments2" uri="{F7C98A9C-CBB3-438F-8F68-D28B6AF4A901}">
        <xltc2:checksum>3817320362</xltc2:checksum>
        <xltc2:hyperlink startIndex="0" length="52" url="https://commodus.lv/terauda-malkas-katls-opop-ecomax"/>
      </x:ext>
    </extLst>
  </threadedComment>
  <threadedComment ref="E25" dT="2024-04-17T12:24:45.48" personId="{030AD55B-CB61-44DC-ACC5-E442CDEBE567}" id="{B8AB5D3A-B5A6-4AE4-B798-D9B1DEBCCD6F}">
    <text>https://commodus.lv/terauda-malkas-katls-opop-ecomax</text>
    <extLst>
      <x:ext xmlns:xltc2="http://schemas.microsoft.com/office/spreadsheetml/2020/threadedcomments2" uri="{F7C98A9C-CBB3-438F-8F68-D28B6AF4A901}">
        <xltc2:checksum>3817320362</xltc2:checksum>
        <xltc2:hyperlink startIndex="0" length="52" url="https://commodus.lv/terauda-malkas-katls-opop-ecomax"/>
      </x:ext>
    </extLst>
  </threadedComment>
  <threadedComment ref="E26" dT="2024-04-17T12:24:49.32" personId="{030AD55B-CB61-44DC-ACC5-E442CDEBE567}" id="{38DE9BF6-19AC-4EA6-BCF8-D8BC920E252B}">
    <text>https://commodus.lv/terauda-malkas-katls-opop-ecomax</text>
    <extLst>
      <x:ext xmlns:xltc2="http://schemas.microsoft.com/office/spreadsheetml/2020/threadedcomments2" uri="{F7C98A9C-CBB3-438F-8F68-D28B6AF4A901}">
        <xltc2:checksum>3817320362</xltc2:checksum>
        <xltc2:hyperlink startIndex="0" length="52" url="https://commodus.lv/terauda-malkas-katls-opop-ecomax"/>
      </x:ext>
    </extLst>
  </threadedComment>
  <threadedComment ref="E27" dT="2024-04-17T12:34:21.60" personId="{030AD55B-CB61-44DC-ACC5-E442CDEBE567}" id="{063C1661-1AD4-4D3F-B614-7C0005B0F632}">
    <text>https://commodus.lv/rojek-apkures-katli</text>
    <extLst>
      <x:ext xmlns:xltc2="http://schemas.microsoft.com/office/spreadsheetml/2020/threadedcomments2" uri="{F7C98A9C-CBB3-438F-8F68-D28B6AF4A901}">
        <xltc2:checksum>78347456</xltc2:checksum>
        <xltc2:hyperlink startIndex="0" length="39" url="https://commodus.lv/rojek-apkures-katli"/>
      </x:ext>
    </extLst>
  </threadedComment>
  <threadedComment ref="E28" dT="2024-04-17T12:34:26.27" personId="{030AD55B-CB61-44DC-ACC5-E442CDEBE567}" id="{5846F5D5-40AF-4204-9D55-B1547443DDD4}">
    <text>https://commodus.lv/rojek-apkures-katli</text>
    <extLst>
      <x:ext xmlns:xltc2="http://schemas.microsoft.com/office/spreadsheetml/2020/threadedcomments2" uri="{F7C98A9C-CBB3-438F-8F68-D28B6AF4A901}">
        <xltc2:checksum>78347456</xltc2:checksum>
        <xltc2:hyperlink startIndex="0" length="39" url="https://commodus.lv/rojek-apkures-katli"/>
      </x:ext>
    </extLst>
  </threadedComment>
  <threadedComment ref="E29" dT="2024-04-17T12:34:29.44" personId="{030AD55B-CB61-44DC-ACC5-E442CDEBE567}" id="{77BA7FDC-564C-42A3-AD71-D260738ADE94}">
    <text>https://commodus.lv/rojek-apkures-katli</text>
    <extLst>
      <x:ext xmlns:xltc2="http://schemas.microsoft.com/office/spreadsheetml/2020/threadedcomments2" uri="{F7C98A9C-CBB3-438F-8F68-D28B6AF4A901}">
        <xltc2:checksum>78347456</xltc2:checksum>
        <xltc2:hyperlink startIndex="0" length="39" url="https://commodus.lv/rojek-apkures-katli"/>
      </x:ext>
    </extLst>
  </threadedComment>
  <threadedComment ref="E30" dT="2024-04-17T12:34:35.45" personId="{030AD55B-CB61-44DC-ACC5-E442CDEBE567}" id="{3983DCCF-CA5A-4D70-B486-6D9A1FC38B32}">
    <text>https://commodus.lv/rojek-apkures-katli</text>
    <extLst>
      <x:ext xmlns:xltc2="http://schemas.microsoft.com/office/spreadsheetml/2020/threadedcomments2" uri="{F7C98A9C-CBB3-438F-8F68-D28B6AF4A901}">
        <xltc2:checksum>78347456</xltc2:checksum>
        <xltc2:hyperlink startIndex="0" length="39" url="https://commodus.lv/rojek-apkures-katli"/>
      </x:ext>
    </extLst>
  </threadedComment>
  <threadedComment ref="E31" dT="2024-04-17T12:34:38.32" personId="{030AD55B-CB61-44DC-ACC5-E442CDEBE567}" id="{B04D56CB-982B-44F3-BCA6-407EAEF4088A}">
    <text>https://commodus.lv/rojek-apkures-katli</text>
    <extLst>
      <x:ext xmlns:xltc2="http://schemas.microsoft.com/office/spreadsheetml/2020/threadedcomments2" uri="{F7C98A9C-CBB3-438F-8F68-D28B6AF4A901}">
        <xltc2:checksum>78347456</xltc2:checksum>
        <xltc2:hyperlink startIndex="0" length="39" url="https://commodus.lv/rojek-apkures-katli"/>
      </x:ext>
    </extLst>
  </threadedComment>
  <threadedComment ref="E32" dT="2024-04-17T12:48:44.81" personId="{030AD55B-CB61-44DC-ACC5-E442CDEBE567}" id="{978CE5FD-D65B-4876-AFB0-ACF3B75E2732}">
    <text>https://www.sbsiltumtehnika.lv/lv/precu-katalogs/centrometal-malkas-apkures-katli</text>
    <extLst>
      <x:ext xmlns:xltc2="http://schemas.microsoft.com/office/spreadsheetml/2020/threadedcomments2" uri="{F7C98A9C-CBB3-438F-8F68-D28B6AF4A901}">
        <xltc2:checksum>2257401</xltc2:checksum>
        <xltc2:hyperlink startIndex="0" length="81" url="https://www.sbsiltumtehnika.lv/lv/precu-katalogs/centrometal-malkas-apkures-katli"/>
      </x:ext>
    </extLst>
  </threadedComment>
  <threadedComment ref="E33" dT="2024-04-17T12:48:48.90" personId="{030AD55B-CB61-44DC-ACC5-E442CDEBE567}" id="{E85D5DEF-4A25-400F-BF85-65C2E2D93A9D}">
    <text>https://www.sbsiltumtehnika.lv/lv/precu-katalogs/centrometal-malkas-apkures-katli</text>
    <extLst>
      <x:ext xmlns:xltc2="http://schemas.microsoft.com/office/spreadsheetml/2020/threadedcomments2" uri="{F7C98A9C-CBB3-438F-8F68-D28B6AF4A901}">
        <xltc2:checksum>2257401</xltc2:checksum>
        <xltc2:hyperlink startIndex="0" length="81" url="https://www.sbsiltumtehnika.lv/lv/precu-katalogs/centrometal-malkas-apkures-katli"/>
      </x:ext>
    </extLst>
  </threadedComment>
  <threadedComment ref="E34" dT="2024-04-17T12:48:56.04" personId="{030AD55B-CB61-44DC-ACC5-E442CDEBE567}" id="{4A134E9B-6547-45E5-A5F7-80E0667514BA}">
    <text>https://www.sbsiltumtehnika.lv/lv/precu-katalogs/centrometal-malkas-apkures-katli</text>
    <extLst>
      <x:ext xmlns:xltc2="http://schemas.microsoft.com/office/spreadsheetml/2020/threadedcomments2" uri="{F7C98A9C-CBB3-438F-8F68-D28B6AF4A901}">
        <xltc2:checksum>2257401</xltc2:checksum>
        <xltc2:hyperlink startIndex="0" length="81" url="https://www.sbsiltumtehnika.lv/lv/precu-katalogs/centrometal-malkas-apkures-katli"/>
      </x:ext>
    </extLst>
  </threadedComment>
  <threadedComment ref="E35" dT="2024-04-17T12:48:59.00" personId="{030AD55B-CB61-44DC-ACC5-E442CDEBE567}" id="{26627D8F-15DC-488D-B034-F44D85E73D7A}">
    <text>https://www.sbsiltumtehnika.lv/lv/precu-katalogs/centrometal-malkas-apkures-katli</text>
    <extLst>
      <x:ext xmlns:xltc2="http://schemas.microsoft.com/office/spreadsheetml/2020/threadedcomments2" uri="{F7C98A9C-CBB3-438F-8F68-D28B6AF4A901}">
        <xltc2:checksum>2257401</xltc2:checksum>
        <xltc2:hyperlink startIndex="0" length="81" url="https://www.sbsiltumtehnika.lv/lv/precu-katalogs/centrometal-malkas-apkures-katli"/>
      </x:ext>
    </extLst>
  </threadedComment>
  <threadedComment ref="E36" dT="2024-04-17T12:49:01.92" personId="{030AD55B-CB61-44DC-ACC5-E442CDEBE567}" id="{63B2BA10-BA63-49EE-9929-561F3C3E6932}">
    <text>https://www.sbsiltumtehnika.lv/lv/precu-katalogs/centrometal-malkas-apkures-katli</text>
    <extLst>
      <x:ext xmlns:xltc2="http://schemas.microsoft.com/office/spreadsheetml/2020/threadedcomments2" uri="{F7C98A9C-CBB3-438F-8F68-D28B6AF4A901}">
        <xltc2:checksum>2257401</xltc2:checksum>
        <xltc2:hyperlink startIndex="0" length="81" url="https://www.sbsiltumtehnika.lv/lv/precu-katalogs/centrometal-malkas-apkures-katli"/>
      </x:ext>
    </extLst>
  </threadedComment>
  <threadedComment ref="F37" dT="2024-04-17T12:50:15.12" personId="{030AD55B-CB61-44DC-ACC5-E442CDEBE567}" id="{B379FF76-AA4F-49A8-93CD-E1CD79BD5F17}">
    <text>https://www.apkureskrasnis.lv/katalogs/params/category/174731/</text>
    <extLst>
      <x:ext xmlns:xltc2="http://schemas.microsoft.com/office/spreadsheetml/2020/threadedcomments2" uri="{F7C98A9C-CBB3-438F-8F68-D28B6AF4A901}">
        <xltc2:checksum>4101683361</xltc2:checksum>
        <xltc2:hyperlink startIndex="0" length="62" url="https://www.apkureskrasnis.lv/katalogs/params/category/174731/"/>
      </x:ext>
    </extLst>
  </threadedComment>
  <threadedComment ref="F38" dT="2024-04-17T12:50:17.90" personId="{030AD55B-CB61-44DC-ACC5-E442CDEBE567}" id="{3D04151A-EEE2-4D5B-8493-BE95977A4D64}">
    <text>https://www.apkureskrasnis.lv/katalogs/params/category/174731/</text>
    <extLst>
      <x:ext xmlns:xltc2="http://schemas.microsoft.com/office/spreadsheetml/2020/threadedcomments2" uri="{F7C98A9C-CBB3-438F-8F68-D28B6AF4A901}">
        <xltc2:checksum>4101683361</xltc2:checksum>
        <xltc2:hyperlink startIndex="0" length="62" url="https://www.apkureskrasnis.lv/katalogs/params/category/174731/"/>
      </x:ext>
    </extLst>
  </threadedComment>
  <threadedComment ref="F39" dT="2024-04-17T12:50:21.18" personId="{030AD55B-CB61-44DC-ACC5-E442CDEBE567}" id="{9AFB43B6-2362-45AD-80D0-62E02DFE467C}">
    <text>https://www.apkureskrasnis.lv/katalogs/params/category/174731/</text>
    <extLst>
      <x:ext xmlns:xltc2="http://schemas.microsoft.com/office/spreadsheetml/2020/threadedcomments2" uri="{F7C98A9C-CBB3-438F-8F68-D28B6AF4A901}">
        <xltc2:checksum>4101683361</xltc2:checksum>
        <xltc2:hyperlink startIndex="0" length="62" url="https://www.apkureskrasnis.lv/katalogs/params/category/174731/"/>
      </x:ext>
    </extLst>
  </threadedComment>
  <threadedComment ref="G40" dT="2024-04-17T12:59:19.36" personId="{030AD55B-CB61-44DC-ACC5-E442CDEBE567}" id="{5B78544E-22EA-4022-886F-24617BEF34A5}">
    <text>https://www.sbshop.lv/katalogs/apkures-katli/sokol-apkures-katli/sokol-malkas-apkures-katli/</text>
    <extLst>
      <x:ext xmlns:xltc2="http://schemas.microsoft.com/office/spreadsheetml/2020/threadedcomments2" uri="{F7C98A9C-CBB3-438F-8F68-D28B6AF4A901}">
        <xltc2:checksum>2081507835</xltc2:checksum>
        <xltc2:hyperlink startIndex="0" length="92" url="https://www.sbshop.lv/katalogs/apkures-katli/sokol-apkures-katli/sokol-malkas-apkures-katli/"/>
      </x:ext>
    </extLst>
  </threadedComment>
  <threadedComment ref="G41" dT="2024-04-17T12:59:22.67" personId="{030AD55B-CB61-44DC-ACC5-E442CDEBE567}" id="{15A78C13-8DB5-424A-B0E7-847CCED6460B}">
    <text>https://www.sbshop.lv/katalogs/apkures-katli/sokol-apkures-katli/sokol-malkas-apkures-katli/</text>
    <extLst>
      <x:ext xmlns:xltc2="http://schemas.microsoft.com/office/spreadsheetml/2020/threadedcomments2" uri="{F7C98A9C-CBB3-438F-8F68-D28B6AF4A901}">
        <xltc2:checksum>2081507835</xltc2:checksum>
        <xltc2:hyperlink startIndex="0" length="92" url="https://www.sbshop.lv/katalogs/apkures-katli/sokol-apkures-katli/sokol-malkas-apkures-katli/"/>
      </x:ext>
    </extLst>
  </threadedComment>
  <threadedComment ref="G42" dT="2024-04-17T12:59:25.65" personId="{030AD55B-CB61-44DC-ACC5-E442CDEBE567}" id="{F960E31C-83A6-4625-92BD-1964DD1C0155}">
    <text>https://www.sbshop.lv/katalogs/apkures-katli/sokol-apkures-katli/sokol-malkas-apkures-katli/</text>
    <extLst>
      <x:ext xmlns:xltc2="http://schemas.microsoft.com/office/spreadsheetml/2020/threadedcomments2" uri="{F7C98A9C-CBB3-438F-8F68-D28B6AF4A901}">
        <xltc2:checksum>2081507835</xltc2:checksum>
        <xltc2:hyperlink startIndex="0" length="92" url="https://www.sbshop.lv/katalogs/apkures-katli/sokol-apkures-katli/sokol-malkas-apkures-katli/"/>
      </x:ext>
    </extLst>
  </threadedComment>
</ThreadedComments>
</file>

<file path=xl/threadedComments/threadedComment6.xml><?xml version="1.0" encoding="utf-8"?>
<ThreadedComments xmlns="http://schemas.microsoft.com/office/spreadsheetml/2018/threadedcomments" xmlns:x="http://schemas.openxmlformats.org/spreadsheetml/2006/main">
  <threadedComment ref="A22" dT="2023-05-23T07:17:14.31" personId="{2E3D1594-0BCA-45C4-AE31-1A8E33A6D3AB}" id="{DD2E8EF4-9602-4722-BD9E-B01C5A5B1F04}">
    <text>Sausā sanāk - 1 m3 = 1.8 ber.m3 (1.7857)</text>
  </threadedComment>
  <threadedComment ref="A24" dT="2023-05-18T06:06:42.34" personId="{2E3D1594-0BCA-45C4-AE31-1A8E33A6D3AB}" id="{F78CF45B-5623-456C-B530-0E585B564723}">
    <text>sausa, gaisā žāvēta, vidēji pieņemta</text>
  </threadedComment>
  <threadedComment ref="F88" dT="2024-03-20T11:58:04.32" personId="{030AD55B-CB61-44DC-ACC5-E442CDEBE567}" id="{0AE16C99-7799-44A2-B47B-98C492E30874}">
    <text>http://www.ergolukss.lv/gazes-apkures-katli/kondensacijas-gazes-katli/</text>
    <extLst>
      <x:ext xmlns:xltc2="http://schemas.microsoft.com/office/spreadsheetml/2020/threadedcomments2" uri="{F7C98A9C-CBB3-438F-8F68-D28B6AF4A901}">
        <xltc2:checksum>419261636</xltc2:checksum>
        <xltc2:hyperlink startIndex="0" length="70" url="http://www.ergolukss.lv/gazes-apkures-katli/kondensacijas-gazes-katli/"/>
      </x:ext>
    </extLst>
  </threadedComment>
  <threadedComment ref="G92" dT="2024-03-20T12:34:15.29" personId="{030AD55B-CB61-44DC-ACC5-E442CDEBE567}" id="{46544531-3C4F-4C02-8DF3-4F4FD098AA73}">
    <text>http://www.ergolukss.lv/gazes-apkures-katli/kondensacijas-gazes-katli/</text>
    <extLst>
      <x:ext xmlns:xltc2="http://schemas.microsoft.com/office/spreadsheetml/2020/threadedcomments2" uri="{F7C98A9C-CBB3-438F-8F68-D28B6AF4A901}">
        <xltc2:checksum>419261636</xltc2:checksum>
        <xltc2:hyperlink startIndex="0" length="70" url="http://www.ergolukss.lv/gazes-apkures-katli/kondensacijas-gazes-katli/"/>
      </x:ext>
    </extLs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likumi.lv/ta/id/350039-par-teritorialajam-zonam-siltumapgades-veida-izvelei-un-prasibam-siltumapgades-sistemas-iekartu-izvelei" TargetMode="External"/><Relationship Id="rId1" Type="http://schemas.openxmlformats.org/officeDocument/2006/relationships/hyperlink" Target="https://mvd.riga.lv/par-mums/komisijas/siltumapgades-jautajumu-komisija/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www.varam.gov.lv/lv/media/24875/download" TargetMode="External"/><Relationship Id="rId6" Type="http://schemas.microsoft.com/office/2017/10/relationships/threadedComment" Target="../threadedComments/threadedComment6.xml"/><Relationship Id="rId5" Type="http://schemas.openxmlformats.org/officeDocument/2006/relationships/comments" Target="../comments6.xml"/><Relationship Id="rId4" Type="http://schemas.openxmlformats.org/officeDocument/2006/relationships/vmlDrawing" Target="../drawings/vmlDrawing6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www.baltpool.eu/lv/majas-lapa/" TargetMode="External"/><Relationship Id="rId1" Type="http://schemas.openxmlformats.org/officeDocument/2006/relationships/hyperlink" Target="https://www.baltpool.eu/lv/majas-lapa/" TargetMode="External"/><Relationship Id="rId6" Type="http://schemas.microsoft.com/office/2017/10/relationships/threadedComment" Target="../threadedComments/threadedComment1.xm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5" Type="http://schemas.microsoft.com/office/2017/10/relationships/threadedComment" Target="../threadedComments/threadedComment2.xml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5" Type="http://schemas.microsoft.com/office/2017/10/relationships/threadedComment" Target="../threadedComments/threadedComment3.xml"/><Relationship Id="rId4" Type="http://schemas.openxmlformats.org/officeDocument/2006/relationships/comments" Target="../comments3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Relationship Id="rId5" Type="http://schemas.microsoft.com/office/2017/10/relationships/threadedComment" Target="../threadedComments/threadedComment4.xml"/><Relationship Id="rId4" Type="http://schemas.openxmlformats.org/officeDocument/2006/relationships/comments" Target="../comments4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5.vml"/><Relationship Id="rId3" Type="http://schemas.openxmlformats.org/officeDocument/2006/relationships/hyperlink" Target="https://www.sbsiltumtehnika.lv/lv/product/centrometal-eko-ck-p-30-malkas-apkures-katls/pop" TargetMode="External"/><Relationship Id="rId7" Type="http://schemas.openxmlformats.org/officeDocument/2006/relationships/drawing" Target="../drawings/drawing6.xml"/><Relationship Id="rId2" Type="http://schemas.openxmlformats.org/officeDocument/2006/relationships/hyperlink" Target="https://www.sbsiltumtehnika.lv/lv/product/centrometal-eko-ck-p-25-malkas-apkures-katls/pop" TargetMode="External"/><Relationship Id="rId1" Type="http://schemas.openxmlformats.org/officeDocument/2006/relationships/hyperlink" Target="https://www.sbsiltumtehnika.lv/lv/product/centrometal-eko-ck-p-20-malkas-apkures-katls/pop" TargetMode="External"/><Relationship Id="rId6" Type="http://schemas.openxmlformats.org/officeDocument/2006/relationships/printerSettings" Target="../printerSettings/printerSettings8.bin"/><Relationship Id="rId5" Type="http://schemas.openxmlformats.org/officeDocument/2006/relationships/hyperlink" Target="https://www.sbsiltumtehnika.lv/lv/product/centrometal-eko-ck-p-40-malkas-apkures-katls/pop" TargetMode="External"/><Relationship Id="rId10" Type="http://schemas.microsoft.com/office/2017/10/relationships/threadedComment" Target="../threadedComments/threadedComment5.xml"/><Relationship Id="rId4" Type="http://schemas.openxmlformats.org/officeDocument/2006/relationships/hyperlink" Target="https://www.sbsiltumtehnika.lv/lv/product/centrometal-eko-ck-p-35-malkas-apkures-katls/pop" TargetMode="External"/><Relationship Id="rId9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C4843D-B8D7-4CC1-857E-A8EAC2EF134A}">
  <sheetPr>
    <tabColor theme="8" tint="0.79998168889431442"/>
  </sheetPr>
  <dimension ref="A1:XFC33"/>
  <sheetViews>
    <sheetView tabSelected="1" zoomScale="130" zoomScaleNormal="130" zoomScaleSheetLayoutView="115" workbookViewId="0">
      <selection activeCell="F9" sqref="F9"/>
    </sheetView>
  </sheetViews>
  <sheetFormatPr defaultColWidth="4.08984375" defaultRowHeight="12.5" zeroHeight="1" x14ac:dyDescent="0.25"/>
  <cols>
    <col min="1" max="1" width="39.1796875" style="1" customWidth="1"/>
    <col min="2" max="2" width="33.90625" style="1" customWidth="1"/>
    <col min="3" max="3" width="14.6328125" style="1" customWidth="1"/>
    <col min="4" max="4" width="14.36328125" style="1" customWidth="1"/>
    <col min="5" max="5" width="20.08984375" style="1" customWidth="1"/>
    <col min="6" max="6" width="21.81640625" style="150" customWidth="1"/>
    <col min="7" max="7" width="8.81640625" style="1" hidden="1" customWidth="1"/>
    <col min="8" max="16382" width="0" style="1" hidden="1" customWidth="1"/>
    <col min="16383" max="16383" width="0.26953125" style="1" customWidth="1"/>
    <col min="16384" max="16384" width="4.6328125" style="1" hidden="1" customWidth="1"/>
  </cols>
  <sheetData>
    <row r="1" spans="1:7" ht="23" customHeight="1" thickBot="1" x14ac:dyDescent="0.3">
      <c r="A1" s="228" t="s">
        <v>337</v>
      </c>
      <c r="B1" s="229"/>
      <c r="C1" s="229"/>
      <c r="D1" s="229"/>
      <c r="E1" s="229"/>
      <c r="F1" s="229"/>
      <c r="G1" s="230"/>
    </row>
    <row r="2" spans="1:7" ht="13" x14ac:dyDescent="0.3">
      <c r="A2" s="231"/>
      <c r="B2" s="2" t="s">
        <v>161</v>
      </c>
      <c r="C2" s="232"/>
      <c r="D2" s="2"/>
      <c r="E2" s="2"/>
      <c r="F2" s="233"/>
      <c r="G2" s="234"/>
    </row>
    <row r="3" spans="1:7" ht="13" x14ac:dyDescent="0.3">
      <c r="A3" s="235"/>
      <c r="B3" s="2" t="s">
        <v>331</v>
      </c>
      <c r="C3" s="232"/>
      <c r="D3" s="2"/>
      <c r="E3" s="2"/>
      <c r="F3" s="233"/>
      <c r="G3" s="234"/>
    </row>
    <row r="4" spans="1:7" ht="13" x14ac:dyDescent="0.3">
      <c r="A4" s="236"/>
      <c r="B4" s="2" t="s">
        <v>336</v>
      </c>
      <c r="C4" s="232"/>
      <c r="D4" s="2"/>
      <c r="E4" s="2"/>
      <c r="F4" s="233"/>
      <c r="G4" s="234"/>
    </row>
    <row r="5" spans="1:7" ht="13" x14ac:dyDescent="0.3">
      <c r="A5" s="237" t="s">
        <v>332</v>
      </c>
      <c r="B5" s="2"/>
      <c r="C5" s="232"/>
      <c r="D5" s="2"/>
      <c r="E5" s="2"/>
      <c r="F5" s="233"/>
      <c r="G5" s="234"/>
    </row>
    <row r="6" spans="1:7" ht="6.5" customHeight="1" x14ac:dyDescent="0.3">
      <c r="A6" s="238"/>
      <c r="B6" s="2"/>
      <c r="C6" s="2"/>
      <c r="D6" s="2"/>
      <c r="E6" s="2"/>
      <c r="F6" s="233"/>
      <c r="G6" s="234"/>
    </row>
    <row r="7" spans="1:7" ht="34" customHeight="1" x14ac:dyDescent="0.3">
      <c r="A7" s="261" t="s">
        <v>131</v>
      </c>
      <c r="B7" s="261"/>
      <c r="C7" s="261"/>
      <c r="D7" s="262" t="s">
        <v>323</v>
      </c>
      <c r="E7" s="263" t="s">
        <v>334</v>
      </c>
      <c r="F7" s="264" t="s">
        <v>324</v>
      </c>
      <c r="G7" s="234"/>
    </row>
    <row r="8" spans="1:7" ht="13" x14ac:dyDescent="0.3">
      <c r="A8" s="240" t="s">
        <v>0</v>
      </c>
      <c r="B8" s="241"/>
      <c r="C8" s="241"/>
      <c r="D8" s="242" t="s">
        <v>148</v>
      </c>
      <c r="E8" s="243"/>
      <c r="F8" s="265"/>
      <c r="G8" s="234"/>
    </row>
    <row r="9" spans="1:7" ht="42" customHeight="1" x14ac:dyDescent="0.3">
      <c r="A9" s="244" t="s">
        <v>173</v>
      </c>
      <c r="B9" s="245"/>
      <c r="C9" s="245"/>
      <c r="D9" s="246" t="s">
        <v>147</v>
      </c>
      <c r="E9" s="267" t="s">
        <v>338</v>
      </c>
      <c r="F9" s="151" t="s">
        <v>325</v>
      </c>
      <c r="G9" s="234"/>
    </row>
    <row r="10" spans="1:7" ht="31.5" x14ac:dyDescent="0.3">
      <c r="A10" s="240" t="s">
        <v>1</v>
      </c>
      <c r="B10" s="241"/>
      <c r="C10" s="241"/>
      <c r="D10" s="242" t="s">
        <v>148</v>
      </c>
      <c r="E10" s="268" t="s">
        <v>326</v>
      </c>
      <c r="F10" s="265"/>
      <c r="G10" s="234"/>
    </row>
    <row r="11" spans="1:7" ht="21" x14ac:dyDescent="0.3">
      <c r="A11" s="240" t="s">
        <v>333</v>
      </c>
      <c r="B11" s="241"/>
      <c r="C11" s="241"/>
      <c r="D11" s="242" t="s">
        <v>148</v>
      </c>
      <c r="E11" s="268" t="s">
        <v>327</v>
      </c>
      <c r="F11" s="265"/>
      <c r="G11" s="234"/>
    </row>
    <row r="12" spans="1:7" ht="31.5" x14ac:dyDescent="0.3">
      <c r="A12" s="240" t="s">
        <v>2</v>
      </c>
      <c r="B12" s="241"/>
      <c r="C12" s="241"/>
      <c r="D12" s="242" t="s">
        <v>147</v>
      </c>
      <c r="E12" s="268" t="s">
        <v>328</v>
      </c>
      <c r="F12" s="265"/>
      <c r="G12" s="234"/>
    </row>
    <row r="13" spans="1:7" ht="114" customHeight="1" x14ac:dyDescent="0.3">
      <c r="A13" s="240" t="s">
        <v>3</v>
      </c>
      <c r="B13" s="241"/>
      <c r="C13" s="241"/>
      <c r="D13" s="242" t="s">
        <v>147</v>
      </c>
      <c r="E13" s="268" t="s">
        <v>330</v>
      </c>
      <c r="F13" s="151" t="s">
        <v>329</v>
      </c>
      <c r="G13" s="234"/>
    </row>
    <row r="14" spans="1:7" ht="13" x14ac:dyDescent="0.3">
      <c r="A14" s="240" t="s">
        <v>7</v>
      </c>
      <c r="B14" s="241"/>
      <c r="C14" s="241"/>
      <c r="D14" s="242" t="s">
        <v>147</v>
      </c>
      <c r="E14" s="243"/>
      <c r="F14" s="265"/>
      <c r="G14" s="234"/>
    </row>
    <row r="15" spans="1:7" ht="13" x14ac:dyDescent="0.3">
      <c r="A15" s="240" t="s">
        <v>142</v>
      </c>
      <c r="B15" s="241"/>
      <c r="C15" s="241"/>
      <c r="D15" s="242" t="s">
        <v>147</v>
      </c>
      <c r="E15" s="243"/>
      <c r="F15" s="265"/>
      <c r="G15" s="234"/>
    </row>
    <row r="16" spans="1:7" ht="13" x14ac:dyDescent="0.3">
      <c r="A16" s="260" t="s">
        <v>335</v>
      </c>
      <c r="B16" s="260"/>
      <c r="C16" s="260"/>
      <c r="D16" s="239" t="s">
        <v>323</v>
      </c>
      <c r="E16" s="266" t="s">
        <v>322</v>
      </c>
      <c r="F16" s="266" t="s">
        <v>324</v>
      </c>
      <c r="G16" s="234"/>
    </row>
    <row r="17" spans="1:7" ht="15" customHeight="1" x14ac:dyDescent="0.3">
      <c r="A17" s="240" t="s">
        <v>4</v>
      </c>
      <c r="B17" s="241"/>
      <c r="C17" s="241"/>
      <c r="D17" s="242" t="s">
        <v>147</v>
      </c>
      <c r="E17" s="243"/>
      <c r="F17" s="265"/>
      <c r="G17" s="234"/>
    </row>
    <row r="18" spans="1:7" ht="13" x14ac:dyDescent="0.3">
      <c r="A18" s="240" t="s">
        <v>5</v>
      </c>
      <c r="B18" s="241"/>
      <c r="C18" s="241"/>
      <c r="D18" s="242" t="s">
        <v>147</v>
      </c>
      <c r="E18" s="243"/>
      <c r="F18" s="265"/>
      <c r="G18" s="234"/>
    </row>
    <row r="19" spans="1:7" ht="13" x14ac:dyDescent="0.3">
      <c r="A19" s="240" t="s">
        <v>12</v>
      </c>
      <c r="B19" s="241"/>
      <c r="C19" s="241"/>
      <c r="D19" s="242" t="s">
        <v>147</v>
      </c>
      <c r="E19" s="243"/>
      <c r="F19" s="265"/>
      <c r="G19" s="234"/>
    </row>
    <row r="20" spans="1:7" ht="13" x14ac:dyDescent="0.3">
      <c r="A20" s="240" t="s">
        <v>6</v>
      </c>
      <c r="B20" s="247"/>
      <c r="C20" s="247"/>
      <c r="D20" s="242" t="s">
        <v>147</v>
      </c>
      <c r="E20" s="243"/>
      <c r="F20" s="265"/>
      <c r="G20" s="234"/>
    </row>
    <row r="21" spans="1:7" ht="13" x14ac:dyDescent="0.3">
      <c r="A21" s="244" t="s">
        <v>11</v>
      </c>
      <c r="B21" s="248"/>
      <c r="C21" s="248"/>
      <c r="D21" s="249" t="s">
        <v>148</v>
      </c>
      <c r="E21" s="243"/>
      <c r="F21" s="265"/>
      <c r="G21" s="234"/>
    </row>
    <row r="22" spans="1:7" ht="13" x14ac:dyDescent="0.3">
      <c r="A22" s="240" t="s">
        <v>258</v>
      </c>
      <c r="B22" s="250">
        <f>B21*4350*0.35/1000</f>
        <v>0</v>
      </c>
      <c r="C22" s="251"/>
      <c r="D22" s="242" t="s">
        <v>259</v>
      </c>
      <c r="E22" s="243"/>
      <c r="F22" s="265"/>
      <c r="G22" s="234"/>
    </row>
    <row r="23" spans="1:7" ht="13" x14ac:dyDescent="0.3">
      <c r="A23" s="238"/>
      <c r="B23" s="2"/>
      <c r="C23" s="2"/>
      <c r="D23" s="2"/>
      <c r="E23" s="2"/>
      <c r="F23" s="233"/>
      <c r="G23" s="234"/>
    </row>
    <row r="24" spans="1:7" ht="13" x14ac:dyDescent="0.3">
      <c r="A24" s="148" t="s">
        <v>310</v>
      </c>
      <c r="B24" s="252"/>
      <c r="C24" s="2"/>
      <c r="D24" s="2"/>
      <c r="E24" s="2"/>
      <c r="F24" s="233"/>
      <c r="G24" s="234"/>
    </row>
    <row r="25" spans="1:7" ht="51.5" customHeight="1" x14ac:dyDescent="0.3">
      <c r="A25" s="253" t="s">
        <v>195</v>
      </c>
      <c r="B25" s="254" t="str">
        <f>IF(Pamatdati!B9='Izejas datu lapa'!I2,'Izejas datu lapa'!J2,IF(Pamatdati!B9='Izejas datu lapa'!I3,'Izejas datu lapa'!J1,IF(Pamatdati!B9='Izejas datu lapa'!I4,'Izejas datu lapa'!J1,"Ievadīt Zonu šūnā B9")))</f>
        <v>Ievadīt Zonu šūnā B9</v>
      </c>
      <c r="C25" s="255" t="str">
        <f>IF(Pamatdati!B9='Izejas datu lapa'!I2," ",IF(Pamatdati!B9='Izejas datu lapa'!I3,'Izejas datu lapa'!J3,IF(Pamatdati!B9='Izejas datu lapa'!I4,'Izejas datu lapa'!J4,"")))</f>
        <v/>
      </c>
      <c r="D25" s="255"/>
      <c r="E25" s="255"/>
      <c r="F25" s="255"/>
      <c r="G25" s="234"/>
    </row>
    <row r="26" spans="1:7" ht="25" customHeight="1" x14ac:dyDescent="0.3">
      <c r="A26" s="253"/>
      <c r="B26" s="256" t="str">
        <f>IF(Pamatdati!B9='Izejas datu lapa'!I2," ",IF(Pamatdati!B9='Izejas datu lapa'!I3,'Izejas datu lapa'!K1,IF(Pamatdati!B9='Izejas datu lapa'!I4,'Izejas datu lapa'!K1," ")))</f>
        <v xml:space="preserve"> </v>
      </c>
      <c r="C26" s="255" t="str">
        <f>IF(Pamatdati!B9='Izejas datu lapa'!I2," ",IF(Pamatdati!B9='Izejas datu lapa'!I3,'Izejas datu lapa'!K3,IF(Pamatdati!B9='Izejas datu lapa'!I4,'Izejas datu lapa'!K4,"")))</f>
        <v/>
      </c>
      <c r="D26" s="255"/>
      <c r="E26" s="255"/>
      <c r="F26" s="255"/>
      <c r="G26" s="234"/>
    </row>
    <row r="27" spans="1:7" ht="13" x14ac:dyDescent="0.3">
      <c r="A27" s="253"/>
      <c r="B27" s="257" t="str">
        <f>IF(Pamatdati!B9='Izejas datu lapa'!I2," ",IF(Pamatdati!B9='Izejas datu lapa'!I3," ",IF(Pamatdati!B9='Izejas datu lapa'!I4,'Izejas datu lapa'!L1," ")))</f>
        <v xml:space="preserve"> </v>
      </c>
      <c r="C27" s="258" t="str">
        <f>IF(Pamatdati!B9='Izejas datu lapa'!I2," ",IF(Pamatdati!B9='Izejas datu lapa'!I3," ",IF(Pamatdati!B9='Izejas datu lapa'!I4,'Izejas datu lapa'!L4,"")))</f>
        <v/>
      </c>
      <c r="D27" s="258"/>
      <c r="E27" s="258"/>
      <c r="F27" s="258"/>
      <c r="G27" s="234"/>
    </row>
    <row r="28" spans="1:7" ht="15" customHeight="1" thickBot="1" x14ac:dyDescent="0.35">
      <c r="A28" s="2"/>
      <c r="B28" s="2"/>
      <c r="C28" s="2"/>
      <c r="D28" s="2"/>
      <c r="E28" s="2"/>
      <c r="F28" s="233"/>
      <c r="G28" s="259"/>
    </row>
    <row r="29" spans="1:7" ht="13" hidden="1" x14ac:dyDescent="0.3">
      <c r="A29" s="2"/>
      <c r="B29" s="2"/>
      <c r="C29" s="2"/>
      <c r="D29" s="2"/>
      <c r="E29" s="2"/>
      <c r="F29" s="233"/>
      <c r="G29" s="2"/>
    </row>
    <row r="30" spans="1:7" ht="13" hidden="1" x14ac:dyDescent="0.3">
      <c r="A30" s="2"/>
      <c r="B30" s="2"/>
      <c r="C30" s="2"/>
      <c r="D30" s="2"/>
      <c r="E30" s="2"/>
      <c r="F30" s="233"/>
      <c r="G30" s="2"/>
    </row>
    <row r="31" spans="1:7" ht="13" hidden="1" x14ac:dyDescent="0.3">
      <c r="A31" s="2"/>
      <c r="B31" s="2"/>
      <c r="C31" s="2"/>
      <c r="D31" s="2"/>
      <c r="E31" s="2"/>
      <c r="F31" s="233"/>
      <c r="G31" s="2"/>
    </row>
    <row r="32" spans="1:7" ht="1" customHeight="1" x14ac:dyDescent="0.3">
      <c r="A32" s="2"/>
      <c r="B32" s="2"/>
      <c r="C32" s="2"/>
      <c r="D32" s="2"/>
      <c r="E32" s="2"/>
      <c r="F32" s="233"/>
      <c r="G32" s="2"/>
    </row>
    <row r="33" spans="1:7" ht="13" x14ac:dyDescent="0.3">
      <c r="A33" s="2"/>
      <c r="B33" s="2"/>
      <c r="C33" s="2"/>
      <c r="D33" s="2"/>
      <c r="E33" s="2"/>
      <c r="F33" s="233"/>
      <c r="G33" s="2"/>
    </row>
  </sheetData>
  <mergeCells count="21">
    <mergeCell ref="A25:A27"/>
    <mergeCell ref="B12:C12"/>
    <mergeCell ref="B13:C13"/>
    <mergeCell ref="B15:C15"/>
    <mergeCell ref="B22:C22"/>
    <mergeCell ref="C25:F25"/>
    <mergeCell ref="C26:F26"/>
    <mergeCell ref="C27:F27"/>
    <mergeCell ref="A1:G1"/>
    <mergeCell ref="B9:C9"/>
    <mergeCell ref="A7:C7"/>
    <mergeCell ref="B8:C8"/>
    <mergeCell ref="B10:C10"/>
    <mergeCell ref="B11:C11"/>
    <mergeCell ref="B21:C21"/>
    <mergeCell ref="B17:C17"/>
    <mergeCell ref="B14:C14"/>
    <mergeCell ref="B18:C18"/>
    <mergeCell ref="B19:C19"/>
    <mergeCell ref="B20:C20"/>
    <mergeCell ref="A16:C16"/>
  </mergeCells>
  <hyperlinks>
    <hyperlink ref="F9" r:id="rId1" xr:uid="{C6ED6A41-F13A-497D-A1C4-5206E707270E}"/>
    <hyperlink ref="F13" r:id="rId2" xr:uid="{EB7E40BC-59C1-40E3-8847-3740F01093DF}"/>
  </hyperlinks>
  <pageMargins left="0.7" right="0.7" top="0.75" bottom="0.75" header="0.3" footer="0.3"/>
  <pageSetup paperSize="9" orientation="landscape" verticalDpi="0" r:id="rId3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showInputMessage="1" showErrorMessage="1" xr:uid="{F012FED4-D0ED-4DDD-A19A-13D0C38DF67C}">
          <x14:formula1>
            <xm:f>'Izejas datu lapa'!$E$3:$E$6</xm:f>
          </x14:formula1>
          <xm:sqref>B17</xm:sqref>
        </x14:dataValidation>
        <x14:dataValidation type="list" showInputMessage="1" showErrorMessage="1" xr:uid="{21DFA1DD-256B-4BFE-8334-937E80127589}">
          <x14:formula1>
            <xm:f>'Izejas datu lapa'!$D$2:$D$9</xm:f>
          </x14:formula1>
          <xm:sqref>B12</xm:sqref>
        </x14:dataValidation>
        <x14:dataValidation type="list" showInputMessage="1" showErrorMessage="1" xr:uid="{25D72B5D-A6DE-4B6C-8B88-28F27CFD7E63}">
          <x14:formula1>
            <xm:f>'Izejas datu lapa'!$E$2:$E$5</xm:f>
          </x14:formula1>
          <xm:sqref>B13</xm:sqref>
        </x14:dataValidation>
        <x14:dataValidation type="list" showInputMessage="1" showErrorMessage="1" xr:uid="{B5315D29-B91F-47D5-BB1D-B0504E2AB5A5}">
          <x14:formula1>
            <xm:f>'Izejas datu lapa'!$H$2:$H$4</xm:f>
          </x14:formula1>
          <xm:sqref>B19</xm:sqref>
        </x14:dataValidation>
        <x14:dataValidation type="list" allowBlank="1" showInputMessage="1" showErrorMessage="1" xr:uid="{D90E9E07-82FE-41C3-8C76-FC4FE27120B2}">
          <x14:formula1>
            <xm:f>'Izejas datu lapa'!$I$2:$I$4</xm:f>
          </x14:formula1>
          <xm:sqref>B9:C9</xm:sqref>
        </x14:dataValidation>
        <x14:dataValidation type="list" allowBlank="1" showInputMessage="1" showErrorMessage="1" xr:uid="{31A9C159-5418-45FA-88FD-7DF99418AC3D}">
          <x14:formula1>
            <xm:f>'Ekon.apr.dati'!$B$6:$I$6</xm:f>
          </x14:formula1>
          <xm:sqref>B15:C15 B20:C20</xm:sqref>
        </x14:dataValidation>
        <x14:dataValidation type="list" allowBlank="1" showInputMessage="1" showErrorMessage="1" xr:uid="{037438F1-7BED-4D10-8B6A-0D6A3B3BB957}">
          <x14:formula1>
            <xm:f>'Izejas datu lapa'!$C$2:$C$6</xm:f>
          </x14:formula1>
          <xm:sqref>B14:C14 B18:C18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15C4AD-1007-42D0-9DAC-41D49C496761}">
  <sheetPr>
    <tabColor theme="8" tint="0.79998168889431442"/>
  </sheetPr>
  <dimension ref="A1:T93"/>
  <sheetViews>
    <sheetView zoomScale="85" zoomScaleNormal="85" workbookViewId="0">
      <selection activeCell="J2" sqref="J2"/>
    </sheetView>
  </sheetViews>
  <sheetFormatPr defaultRowHeight="14.5" x14ac:dyDescent="0.35"/>
  <cols>
    <col min="1" max="1" width="29.1796875" customWidth="1"/>
    <col min="5" max="5" width="16.6328125" customWidth="1"/>
    <col min="6" max="6" width="12.90625" customWidth="1"/>
    <col min="16" max="16" width="10.36328125" customWidth="1"/>
  </cols>
  <sheetData>
    <row r="1" spans="1:20" x14ac:dyDescent="0.35">
      <c r="A1" s="6" t="s">
        <v>196</v>
      </c>
      <c r="B1" s="7"/>
      <c r="C1" s="7"/>
      <c r="D1" s="7"/>
      <c r="E1" s="7"/>
      <c r="F1" s="7"/>
      <c r="G1" s="7"/>
      <c r="H1" s="7"/>
      <c r="I1" s="7"/>
      <c r="J1" s="7" t="s">
        <v>255</v>
      </c>
      <c r="K1" s="7" t="s">
        <v>256</v>
      </c>
      <c r="L1" s="8" t="s">
        <v>257</v>
      </c>
    </row>
    <row r="2" spans="1:20" x14ac:dyDescent="0.35">
      <c r="A2" s="9"/>
      <c r="C2" t="s">
        <v>13</v>
      </c>
      <c r="D2" s="2" t="s">
        <v>24</v>
      </c>
      <c r="E2" s="2" t="s">
        <v>31</v>
      </c>
      <c r="F2" s="2" t="s">
        <v>35</v>
      </c>
      <c r="G2" s="2" t="s">
        <v>36</v>
      </c>
      <c r="H2" s="2" t="s">
        <v>39</v>
      </c>
      <c r="I2" s="2" t="s">
        <v>174</v>
      </c>
      <c r="J2" s="102" t="s">
        <v>249</v>
      </c>
      <c r="L2" s="10"/>
    </row>
    <row r="3" spans="1:20" x14ac:dyDescent="0.35">
      <c r="A3" s="9"/>
      <c r="C3" t="s">
        <v>143</v>
      </c>
      <c r="D3" s="2" t="s">
        <v>25</v>
      </c>
      <c r="E3" s="2" t="s">
        <v>32</v>
      </c>
      <c r="F3" s="2" t="s">
        <v>31</v>
      </c>
      <c r="G3" s="2" t="s">
        <v>37</v>
      </c>
      <c r="H3" s="2" t="s">
        <v>40</v>
      </c>
      <c r="I3" s="2" t="s">
        <v>175</v>
      </c>
      <c r="J3" s="102" t="s">
        <v>250</v>
      </c>
      <c r="K3" s="102" t="s">
        <v>251</v>
      </c>
      <c r="L3" s="10"/>
    </row>
    <row r="4" spans="1:20" x14ac:dyDescent="0.35">
      <c r="A4" s="9"/>
      <c r="C4" t="s">
        <v>144</v>
      </c>
      <c r="D4" s="2" t="s">
        <v>26</v>
      </c>
      <c r="E4" s="2" t="s">
        <v>33</v>
      </c>
      <c r="G4" s="2" t="s">
        <v>38</v>
      </c>
      <c r="H4" s="2" t="s">
        <v>38</v>
      </c>
      <c r="I4" s="2" t="s">
        <v>176</v>
      </c>
      <c r="J4" s="102" t="s">
        <v>252</v>
      </c>
      <c r="K4" s="102" t="s">
        <v>253</v>
      </c>
      <c r="L4" s="102" t="s">
        <v>254</v>
      </c>
    </row>
    <row r="5" spans="1:20" x14ac:dyDescent="0.35">
      <c r="A5" s="9"/>
      <c r="C5" t="s">
        <v>145</v>
      </c>
      <c r="D5" s="2" t="s">
        <v>27</v>
      </c>
      <c r="E5" s="2" t="s">
        <v>34</v>
      </c>
      <c r="L5" s="10"/>
    </row>
    <row r="6" spans="1:20" x14ac:dyDescent="0.35">
      <c r="A6" s="9"/>
      <c r="C6" t="s">
        <v>146</v>
      </c>
      <c r="D6" s="2" t="s">
        <v>28</v>
      </c>
      <c r="E6" s="2"/>
      <c r="L6" s="10"/>
    </row>
    <row r="7" spans="1:20" x14ac:dyDescent="0.35">
      <c r="A7" s="9"/>
      <c r="D7" s="2" t="s">
        <v>29</v>
      </c>
      <c r="E7" s="2"/>
      <c r="L7" s="10"/>
    </row>
    <row r="8" spans="1:20" x14ac:dyDescent="0.35">
      <c r="A8" s="9"/>
      <c r="D8" s="2" t="s">
        <v>30</v>
      </c>
      <c r="E8" s="2"/>
      <c r="L8" s="10"/>
    </row>
    <row r="9" spans="1:20" ht="15" thickBot="1" x14ac:dyDescent="0.4">
      <c r="A9" s="11"/>
      <c r="B9" s="12"/>
      <c r="C9" s="12"/>
      <c r="D9" s="12" t="s">
        <v>130</v>
      </c>
      <c r="E9" s="12"/>
      <c r="F9" s="12"/>
      <c r="G9" s="12"/>
      <c r="H9" s="12"/>
      <c r="I9" s="12"/>
      <c r="J9" s="12"/>
      <c r="K9" s="12"/>
      <c r="L9" s="13"/>
    </row>
    <row r="10" spans="1:20" ht="41" customHeight="1" thickBot="1" x14ac:dyDescent="0.4"/>
    <row r="11" spans="1:20" ht="15" thickBot="1" x14ac:dyDescent="0.4">
      <c r="E11" s="94" t="s">
        <v>181</v>
      </c>
      <c r="F11" s="93" t="s">
        <v>183</v>
      </c>
    </row>
    <row r="12" spans="1:20" x14ac:dyDescent="0.35">
      <c r="A12" s="19" t="s">
        <v>171</v>
      </c>
      <c r="B12" s="45">
        <v>12.87</v>
      </c>
      <c r="C12" s="65" t="s">
        <v>103</v>
      </c>
      <c r="E12" s="225" t="s">
        <v>177</v>
      </c>
      <c r="F12" s="28" t="s">
        <v>178</v>
      </c>
    </row>
    <row r="13" spans="1:20" x14ac:dyDescent="0.35">
      <c r="A13" s="49" t="s">
        <v>104</v>
      </c>
      <c r="B13" s="5" t="s">
        <v>103</v>
      </c>
      <c r="C13" s="61" t="s">
        <v>102</v>
      </c>
      <c r="E13" s="226"/>
      <c r="F13" s="5" t="s">
        <v>180</v>
      </c>
    </row>
    <row r="14" spans="1:20" ht="15" thickBot="1" x14ac:dyDescent="0.4">
      <c r="A14" s="49" t="s">
        <v>101</v>
      </c>
      <c r="B14" s="5">
        <v>5.0999999999999996</v>
      </c>
      <c r="C14" s="61">
        <f>B14*3.6</f>
        <v>18.36</v>
      </c>
      <c r="E14" s="227"/>
      <c r="F14" s="53" t="s">
        <v>179</v>
      </c>
    </row>
    <row r="15" spans="1:20" x14ac:dyDescent="0.35">
      <c r="A15" s="49" t="s">
        <v>100</v>
      </c>
      <c r="B15" s="43">
        <v>26</v>
      </c>
      <c r="C15" s="71">
        <v>7.22</v>
      </c>
      <c r="E15" s="225" t="s">
        <v>182</v>
      </c>
      <c r="F15" s="28" t="s">
        <v>183</v>
      </c>
      <c r="O15" s="103"/>
      <c r="T15" s="103"/>
    </row>
    <row r="16" spans="1:20" x14ac:dyDescent="0.35">
      <c r="A16" s="49" t="s">
        <v>99</v>
      </c>
      <c r="B16" s="70">
        <f>B14*B15</f>
        <v>132.6</v>
      </c>
      <c r="C16" s="72">
        <f>C14*C15</f>
        <v>132.5592</v>
      </c>
      <c r="E16" s="226"/>
      <c r="F16" s="5" t="s">
        <v>178</v>
      </c>
    </row>
    <row r="17" spans="1:18" ht="15" thickBot="1" x14ac:dyDescent="0.4">
      <c r="A17" s="62" t="s">
        <v>98</v>
      </c>
      <c r="B17" s="53" t="s">
        <v>97</v>
      </c>
      <c r="C17" s="29"/>
      <c r="E17" s="226"/>
      <c r="F17" s="5" t="s">
        <v>180</v>
      </c>
    </row>
    <row r="18" spans="1:18" ht="15" thickBot="1" x14ac:dyDescent="0.4">
      <c r="E18" s="227"/>
      <c r="F18" s="53" t="s">
        <v>179</v>
      </c>
      <c r="O18" s="103"/>
      <c r="R18" s="103"/>
    </row>
    <row r="19" spans="1:18" x14ac:dyDescent="0.35">
      <c r="A19" s="73" t="s">
        <v>96</v>
      </c>
      <c r="E19" s="225" t="s">
        <v>184</v>
      </c>
      <c r="F19" s="28" t="s">
        <v>183</v>
      </c>
    </row>
    <row r="20" spans="1:18" x14ac:dyDescent="0.35">
      <c r="A20" s="74" t="s">
        <v>95</v>
      </c>
      <c r="E20" s="226"/>
      <c r="F20" s="5" t="str">
        <f>F16</f>
        <v>Izmaksas, EUR</v>
      </c>
    </row>
    <row r="21" spans="1:18" x14ac:dyDescent="0.35">
      <c r="A21" s="74" t="s">
        <v>94</v>
      </c>
      <c r="E21" s="226"/>
      <c r="F21" s="5" t="str">
        <f>F17</f>
        <v>uzstādīšana</v>
      </c>
    </row>
    <row r="22" spans="1:18" ht="15" thickBot="1" x14ac:dyDescent="0.4">
      <c r="A22" s="74" t="s">
        <v>93</v>
      </c>
      <c r="E22" s="227"/>
      <c r="F22" s="53" t="s">
        <v>179</v>
      </c>
    </row>
    <row r="23" spans="1:18" x14ac:dyDescent="0.35">
      <c r="A23" s="74" t="s">
        <v>92</v>
      </c>
    </row>
    <row r="24" spans="1:18" x14ac:dyDescent="0.35">
      <c r="A24" s="74" t="s">
        <v>91</v>
      </c>
    </row>
    <row r="25" spans="1:18" x14ac:dyDescent="0.35">
      <c r="A25" s="74" t="s">
        <v>90</v>
      </c>
    </row>
    <row r="26" spans="1:18" ht="15" thickBot="1" x14ac:dyDescent="0.4">
      <c r="A26" s="75" t="s">
        <v>89</v>
      </c>
    </row>
    <row r="27" spans="1:18" ht="15" thickBot="1" x14ac:dyDescent="0.4"/>
    <row r="28" spans="1:18" x14ac:dyDescent="0.35">
      <c r="A28" s="212" t="s">
        <v>84</v>
      </c>
      <c r="B28" s="28" t="s">
        <v>88</v>
      </c>
      <c r="C28" s="28" t="s">
        <v>87</v>
      </c>
      <c r="D28" s="28" t="s">
        <v>86</v>
      </c>
      <c r="E28" s="28" t="s">
        <v>85</v>
      </c>
      <c r="F28" s="28" t="s">
        <v>75</v>
      </c>
      <c r="G28" s="65" t="s">
        <v>44</v>
      </c>
    </row>
    <row r="29" spans="1:18" ht="15" thickBot="1" x14ac:dyDescent="0.4">
      <c r="A29" s="213"/>
      <c r="B29" s="53" t="s">
        <v>83</v>
      </c>
      <c r="C29" s="53" t="s">
        <v>82</v>
      </c>
      <c r="D29" s="53" t="s">
        <v>81</v>
      </c>
      <c r="E29" s="53" t="s">
        <v>80</v>
      </c>
      <c r="F29" s="53" t="s">
        <v>69</v>
      </c>
      <c r="G29" s="69">
        <f>(4.8+4.6+5)/3</f>
        <v>4.8</v>
      </c>
    </row>
    <row r="30" spans="1:18" ht="15" thickBot="1" x14ac:dyDescent="0.4"/>
    <row r="31" spans="1:18" x14ac:dyDescent="0.35">
      <c r="A31" s="212" t="s">
        <v>74</v>
      </c>
      <c r="B31" s="28" t="s">
        <v>79</v>
      </c>
      <c r="C31" s="28" t="s">
        <v>78</v>
      </c>
      <c r="D31" s="28" t="s">
        <v>77</v>
      </c>
      <c r="E31" s="28" t="s">
        <v>76</v>
      </c>
      <c r="F31" s="28" t="s">
        <v>75</v>
      </c>
      <c r="G31" s="28"/>
      <c r="H31" s="28"/>
      <c r="I31" s="65"/>
    </row>
    <row r="32" spans="1:18" x14ac:dyDescent="0.35">
      <c r="A32" s="164"/>
      <c r="B32" s="5" t="s">
        <v>73</v>
      </c>
      <c r="C32" s="5" t="s">
        <v>72</v>
      </c>
      <c r="D32" s="5" t="s">
        <v>71</v>
      </c>
      <c r="E32" s="5" t="s">
        <v>70</v>
      </c>
      <c r="F32" s="5" t="s">
        <v>69</v>
      </c>
      <c r="G32" s="5"/>
      <c r="H32" s="5"/>
      <c r="I32" s="61"/>
    </row>
    <row r="33" spans="1:9" ht="15" thickBot="1" x14ac:dyDescent="0.4">
      <c r="A33" s="62"/>
      <c r="B33" s="53">
        <v>5.09</v>
      </c>
      <c r="C33" s="66">
        <f>4700*4.184/3600</f>
        <v>5.4624444444444444</v>
      </c>
      <c r="D33" s="66">
        <f>5000*4.184/3600</f>
        <v>5.8111111111111109</v>
      </c>
      <c r="E33" s="66">
        <f>4500*4.184/3600</f>
        <v>5.23</v>
      </c>
      <c r="F33" s="66">
        <f>4600*4.184/3600</f>
        <v>5.3462222222222229</v>
      </c>
      <c r="G33" s="53" t="s">
        <v>42</v>
      </c>
      <c r="H33" s="67">
        <f>AVERAGE(B33:D33)</f>
        <v>5.4545185185185181</v>
      </c>
      <c r="I33" s="68">
        <f>AVERAGE(B33,C33,E33,F33)</f>
        <v>5.2821666666666669</v>
      </c>
    </row>
    <row r="34" spans="1:9" ht="15" thickBot="1" x14ac:dyDescent="0.4">
      <c r="B34" s="18">
        <f>5.09/4.184*3600</f>
        <v>4379.5411089866147</v>
      </c>
      <c r="C34" t="s">
        <v>68</v>
      </c>
    </row>
    <row r="35" spans="1:9" x14ac:dyDescent="0.35">
      <c r="A35" s="214" t="s">
        <v>66</v>
      </c>
      <c r="B35" s="84" t="s">
        <v>65</v>
      </c>
      <c r="C35" s="84"/>
      <c r="D35" s="84"/>
      <c r="E35" s="84"/>
      <c r="F35" s="181" t="s">
        <v>67</v>
      </c>
      <c r="G35" s="181"/>
      <c r="H35" s="181"/>
      <c r="I35" s="216"/>
    </row>
    <row r="36" spans="1:9" x14ac:dyDescent="0.35">
      <c r="A36" s="215"/>
      <c r="B36" s="47"/>
      <c r="C36" s="47"/>
      <c r="D36" s="47"/>
      <c r="E36" s="47"/>
      <c r="F36" s="217" t="s">
        <v>64</v>
      </c>
      <c r="G36" s="217"/>
      <c r="H36" s="217" t="s">
        <v>63</v>
      </c>
      <c r="I36" s="218"/>
    </row>
    <row r="37" spans="1:9" x14ac:dyDescent="0.35">
      <c r="A37" s="49" t="s">
        <v>62</v>
      </c>
      <c r="B37" s="5" t="s">
        <v>61</v>
      </c>
      <c r="C37" s="5" t="s">
        <v>60</v>
      </c>
      <c r="D37" s="5" t="s">
        <v>59</v>
      </c>
      <c r="E37" s="5" t="s">
        <v>58</v>
      </c>
      <c r="F37" s="5" t="s">
        <v>57</v>
      </c>
      <c r="G37" s="5" t="s">
        <v>56</v>
      </c>
      <c r="H37" s="5" t="s">
        <v>57</v>
      </c>
      <c r="I37" s="61" t="s">
        <v>56</v>
      </c>
    </row>
    <row r="38" spans="1:9" x14ac:dyDescent="0.35">
      <c r="A38" s="49" t="s">
        <v>50</v>
      </c>
      <c r="B38" s="42">
        <f>C38/2.5</f>
        <v>1.0744</v>
      </c>
      <c r="C38" s="42">
        <v>2.6859999999999999</v>
      </c>
      <c r="D38" s="56">
        <f>C38*3.6</f>
        <v>9.6696000000000009</v>
      </c>
      <c r="E38" s="60">
        <v>1900</v>
      </c>
      <c r="F38" s="60">
        <v>5816</v>
      </c>
      <c r="G38" s="5">
        <v>9379</v>
      </c>
      <c r="H38" s="5">
        <v>1.62</v>
      </c>
      <c r="I38" s="61">
        <v>2.61</v>
      </c>
    </row>
    <row r="39" spans="1:9" x14ac:dyDescent="0.35">
      <c r="A39" s="49" t="s">
        <v>47</v>
      </c>
      <c r="B39" s="42">
        <f>C39/2.5</f>
        <v>0.88559999999999994</v>
      </c>
      <c r="C39" s="42">
        <v>2.214</v>
      </c>
      <c r="D39" s="56">
        <f>C39*3.6</f>
        <v>7.9703999999999997</v>
      </c>
      <c r="E39" s="60">
        <v>1500</v>
      </c>
      <c r="F39" s="60">
        <v>4698</v>
      </c>
      <c r="G39" s="5">
        <v>7302</v>
      </c>
      <c r="H39" s="5">
        <v>1.3</v>
      </c>
      <c r="I39" s="61">
        <v>2.0299999999999998</v>
      </c>
    </row>
    <row r="40" spans="1:9" x14ac:dyDescent="0.35">
      <c r="A40" s="49" t="s">
        <v>55</v>
      </c>
      <c r="B40" s="42"/>
      <c r="C40" s="42"/>
      <c r="D40" s="56"/>
      <c r="E40" s="60">
        <v>2100</v>
      </c>
      <c r="F40" s="60">
        <v>5874</v>
      </c>
      <c r="G40" s="5">
        <v>9186</v>
      </c>
      <c r="H40" s="5">
        <v>1.63</v>
      </c>
      <c r="I40" s="61">
        <v>2.5499999999999998</v>
      </c>
    </row>
    <row r="41" spans="1:9" x14ac:dyDescent="0.35">
      <c r="A41" s="49" t="s">
        <v>54</v>
      </c>
      <c r="B41" s="42">
        <f>C41/2.5</f>
        <v>0.74839999999999995</v>
      </c>
      <c r="C41" s="42">
        <v>1.871</v>
      </c>
      <c r="D41" s="56">
        <f>C41*3.6</f>
        <v>6.7355999999999998</v>
      </c>
      <c r="E41" s="60"/>
      <c r="F41" s="60">
        <v>4472</v>
      </c>
      <c r="G41" s="5">
        <v>8265</v>
      </c>
      <c r="H41" s="5">
        <v>1.24</v>
      </c>
      <c r="I41" s="61">
        <v>2.2999999999999998</v>
      </c>
    </row>
    <row r="42" spans="1:9" x14ac:dyDescent="0.35">
      <c r="A42" s="49" t="s">
        <v>46</v>
      </c>
      <c r="B42" s="42">
        <f>C42/2.5</f>
        <v>0.84000000000000008</v>
      </c>
      <c r="C42" s="42">
        <v>2.1</v>
      </c>
      <c r="D42" s="56">
        <f>C42*3.6</f>
        <v>7.5600000000000005</v>
      </c>
      <c r="E42" s="60"/>
      <c r="F42" s="60">
        <v>4195</v>
      </c>
      <c r="G42" s="5">
        <v>7239</v>
      </c>
      <c r="H42" s="5">
        <v>1.17</v>
      </c>
      <c r="I42" s="61">
        <v>2.0099999999999998</v>
      </c>
    </row>
    <row r="43" spans="1:9" x14ac:dyDescent="0.35">
      <c r="A43" s="49" t="s">
        <v>48</v>
      </c>
      <c r="B43" s="42">
        <f>C43/2.5</f>
        <v>0.85719999999999996</v>
      </c>
      <c r="C43" s="42">
        <v>2.1429999999999998</v>
      </c>
      <c r="D43" s="56">
        <f>C43*3.6</f>
        <v>7.7147999999999994</v>
      </c>
      <c r="E43" s="60">
        <v>1500</v>
      </c>
      <c r="F43" s="60">
        <v>5368</v>
      </c>
      <c r="G43" s="5">
        <v>8918</v>
      </c>
      <c r="H43" s="5">
        <v>1.49</v>
      </c>
      <c r="I43" s="61">
        <v>2.48</v>
      </c>
    </row>
    <row r="44" spans="1:9" ht="15" thickBot="1" x14ac:dyDescent="0.4">
      <c r="A44" s="62" t="s">
        <v>53</v>
      </c>
      <c r="B44" s="63">
        <f>AVERAGE(B38:B43)</f>
        <v>0.8811199999999999</v>
      </c>
      <c r="C44" s="63">
        <f>AVERAGE(C38:C43)</f>
        <v>2.2027999999999999</v>
      </c>
      <c r="D44" s="63">
        <f>AVERAGE(D38:D43)</f>
        <v>7.9300799999999994</v>
      </c>
      <c r="E44" s="64">
        <f>AVERAGE(E38:E43)</f>
        <v>1750</v>
      </c>
      <c r="F44" s="221">
        <f>AVERAGE(F38:G43)</f>
        <v>6726</v>
      </c>
      <c r="G44" s="222"/>
      <c r="H44" s="223">
        <f>AVERAGE(H38:I43)</f>
        <v>1.8691666666666666</v>
      </c>
      <c r="I44" s="224"/>
    </row>
    <row r="45" spans="1:9" ht="15" thickBot="1" x14ac:dyDescent="0.4"/>
    <row r="46" spans="1:9" x14ac:dyDescent="0.35">
      <c r="A46" s="44" t="s">
        <v>52</v>
      </c>
      <c r="B46" s="65" t="s">
        <v>51</v>
      </c>
    </row>
    <row r="47" spans="1:9" x14ac:dyDescent="0.35">
      <c r="A47" s="46" t="s">
        <v>50</v>
      </c>
      <c r="B47" s="77">
        <v>630</v>
      </c>
    </row>
    <row r="48" spans="1:9" x14ac:dyDescent="0.35">
      <c r="A48" s="46" t="s">
        <v>49</v>
      </c>
      <c r="B48" s="77">
        <v>375</v>
      </c>
    </row>
    <row r="49" spans="1:16" x14ac:dyDescent="0.35">
      <c r="A49" s="46" t="s">
        <v>48</v>
      </c>
      <c r="B49" s="77">
        <v>500</v>
      </c>
    </row>
    <row r="50" spans="1:16" x14ac:dyDescent="0.35">
      <c r="A50" s="46" t="s">
        <v>47</v>
      </c>
      <c r="B50" s="77">
        <v>520</v>
      </c>
    </row>
    <row r="51" spans="1:16" x14ac:dyDescent="0.35">
      <c r="A51" s="46" t="s">
        <v>46</v>
      </c>
      <c r="B51" s="77">
        <v>495</v>
      </c>
    </row>
    <row r="52" spans="1:16" x14ac:dyDescent="0.35">
      <c r="A52" s="46" t="s">
        <v>45</v>
      </c>
      <c r="B52" s="77">
        <v>495</v>
      </c>
    </row>
    <row r="53" spans="1:16" x14ac:dyDescent="0.35">
      <c r="A53" s="78" t="s">
        <v>44</v>
      </c>
      <c r="B53" s="79">
        <f>AVERAGE(B47:B52)</f>
        <v>502.5</v>
      </c>
    </row>
    <row r="54" spans="1:16" x14ac:dyDescent="0.35">
      <c r="A54" s="80" t="s">
        <v>43</v>
      </c>
      <c r="B54" s="61" t="s">
        <v>42</v>
      </c>
    </row>
    <row r="55" spans="1:16" x14ac:dyDescent="0.35">
      <c r="A55" s="81">
        <v>0.15</v>
      </c>
      <c r="B55" s="77">
        <v>4.2</v>
      </c>
    </row>
    <row r="56" spans="1:16" x14ac:dyDescent="0.35">
      <c r="A56" s="81">
        <v>0.2</v>
      </c>
      <c r="B56" s="77">
        <v>3.91</v>
      </c>
    </row>
    <row r="57" spans="1:16" x14ac:dyDescent="0.35">
      <c r="A57" s="81">
        <v>0.25</v>
      </c>
      <c r="B57" s="77">
        <v>3.62</v>
      </c>
    </row>
    <row r="58" spans="1:16" x14ac:dyDescent="0.35">
      <c r="A58" s="81">
        <v>0.3</v>
      </c>
      <c r="B58" s="77">
        <v>3.33</v>
      </c>
    </row>
    <row r="59" spans="1:16" x14ac:dyDescent="0.35">
      <c r="A59" s="81">
        <v>0.35</v>
      </c>
      <c r="B59" s="77">
        <v>3.04</v>
      </c>
    </row>
    <row r="60" spans="1:16" ht="15" thickBot="1" x14ac:dyDescent="0.4">
      <c r="A60" s="82">
        <v>0.4</v>
      </c>
      <c r="B60" s="83">
        <v>2.75</v>
      </c>
    </row>
    <row r="63" spans="1:16" x14ac:dyDescent="0.35">
      <c r="B63" s="5"/>
      <c r="C63" s="5"/>
      <c r="D63" s="5" t="s">
        <v>185</v>
      </c>
      <c r="E63" s="5"/>
      <c r="F63" s="5"/>
      <c r="G63" s="5"/>
      <c r="H63" s="5"/>
      <c r="J63" s="5"/>
      <c r="K63" s="5"/>
      <c r="L63" s="5" t="s">
        <v>248</v>
      </c>
      <c r="M63" s="5"/>
      <c r="N63" s="5"/>
      <c r="O63" s="5"/>
      <c r="P63" s="5"/>
    </row>
    <row r="64" spans="1:16" x14ac:dyDescent="0.35">
      <c r="B64" s="5" t="s">
        <v>186</v>
      </c>
      <c r="C64" s="5" t="s">
        <v>187</v>
      </c>
      <c r="D64" s="5" t="s">
        <v>134</v>
      </c>
      <c r="E64" s="5" t="s">
        <v>132</v>
      </c>
      <c r="F64" s="5" t="s">
        <v>133</v>
      </c>
      <c r="G64" s="5" t="s">
        <v>194</v>
      </c>
      <c r="H64" s="5" t="s">
        <v>192</v>
      </c>
      <c r="J64" s="5" t="s">
        <v>179</v>
      </c>
      <c r="K64" s="5" t="s">
        <v>187</v>
      </c>
      <c r="L64" s="5" t="s">
        <v>134</v>
      </c>
      <c r="M64" s="5" t="s">
        <v>132</v>
      </c>
      <c r="N64" s="5" t="s">
        <v>133</v>
      </c>
      <c r="O64" s="5" t="s">
        <v>194</v>
      </c>
      <c r="P64" s="5" t="s">
        <v>192</v>
      </c>
    </row>
    <row r="65" spans="2:16" x14ac:dyDescent="0.35">
      <c r="B65" s="5">
        <v>10</v>
      </c>
      <c r="C65" s="95">
        <v>8000</v>
      </c>
      <c r="D65" s="95">
        <f>AVERAGE(2500,4000)</f>
        <v>3250</v>
      </c>
      <c r="E65" s="95">
        <v>4000</v>
      </c>
      <c r="F65" s="95">
        <v>1200</v>
      </c>
      <c r="G65" s="95">
        <v>6500</v>
      </c>
      <c r="H65" s="95">
        <v>4800</v>
      </c>
      <c r="J65" s="5">
        <v>10</v>
      </c>
      <c r="K65" s="97">
        <f>C65/B65</f>
        <v>800</v>
      </c>
      <c r="L65" s="95">
        <f>D65/B65</f>
        <v>325</v>
      </c>
      <c r="M65" s="95">
        <f>E65/B65</f>
        <v>400</v>
      </c>
      <c r="N65" s="95">
        <f>F65/B65</f>
        <v>120</v>
      </c>
      <c r="O65" s="95">
        <f>G65/B65</f>
        <v>650</v>
      </c>
      <c r="P65" s="95">
        <f>H65/B65</f>
        <v>480</v>
      </c>
    </row>
    <row r="66" spans="2:16" x14ac:dyDescent="0.35">
      <c r="B66" s="5">
        <v>20</v>
      </c>
      <c r="C66" s="95">
        <v>8000</v>
      </c>
      <c r="D66" s="95">
        <f>AVERAGE(2800,4600)</f>
        <v>3700</v>
      </c>
      <c r="E66" s="95">
        <v>4500</v>
      </c>
      <c r="F66" s="95">
        <v>1700</v>
      </c>
      <c r="G66" s="95">
        <v>8050</v>
      </c>
      <c r="H66" s="95">
        <v>5500</v>
      </c>
      <c r="J66" s="5">
        <v>20</v>
      </c>
      <c r="K66" s="97">
        <f t="shared" ref="K66:K72" si="0">C66/B66</f>
        <v>400</v>
      </c>
      <c r="L66" s="95">
        <f>D66/B66</f>
        <v>185</v>
      </c>
      <c r="M66" s="95">
        <f>E66/B66</f>
        <v>225</v>
      </c>
      <c r="N66" s="95">
        <f>F66/B66</f>
        <v>85</v>
      </c>
      <c r="O66" s="95">
        <f>G66/B66</f>
        <v>402.5</v>
      </c>
      <c r="P66" s="95">
        <f>H66/B66</f>
        <v>275</v>
      </c>
    </row>
    <row r="67" spans="2:16" x14ac:dyDescent="0.35">
      <c r="B67" s="5">
        <v>30</v>
      </c>
      <c r="C67" s="95">
        <v>8000</v>
      </c>
      <c r="D67" s="95">
        <f>AVERAGE(3000,6500)</f>
        <v>4750</v>
      </c>
      <c r="E67" s="95">
        <v>5000</v>
      </c>
      <c r="F67" s="95">
        <v>2000</v>
      </c>
      <c r="G67" s="95">
        <v>8800</v>
      </c>
      <c r="H67" s="95">
        <v>6000</v>
      </c>
      <c r="J67" s="5">
        <v>30</v>
      </c>
      <c r="K67" s="97">
        <f t="shared" si="0"/>
        <v>266.66666666666669</v>
      </c>
      <c r="L67" s="95">
        <f>D67/B67</f>
        <v>158.33333333333334</v>
      </c>
      <c r="M67" s="95">
        <f>E67/B67</f>
        <v>166.66666666666666</v>
      </c>
      <c r="N67" s="95">
        <f>F67/B67</f>
        <v>66.666666666666671</v>
      </c>
      <c r="O67" s="95">
        <f>G67/B67</f>
        <v>293.33333333333331</v>
      </c>
      <c r="P67" s="95">
        <f>H67/B67</f>
        <v>200</v>
      </c>
    </row>
    <row r="68" spans="2:16" x14ac:dyDescent="0.35">
      <c r="B68" s="5">
        <v>50</v>
      </c>
      <c r="C68" s="95">
        <v>8000</v>
      </c>
      <c r="D68" s="95">
        <f>AVERAGE(3700,8000)</f>
        <v>5850</v>
      </c>
      <c r="E68" s="95">
        <v>6500</v>
      </c>
      <c r="F68" s="95">
        <v>2500</v>
      </c>
      <c r="G68" s="95">
        <v>9500</v>
      </c>
      <c r="H68" s="95">
        <v>6500</v>
      </c>
      <c r="J68" s="5">
        <v>50</v>
      </c>
      <c r="K68" s="97">
        <f t="shared" si="0"/>
        <v>160</v>
      </c>
      <c r="L68" s="95">
        <f>D68/B68</f>
        <v>117</v>
      </c>
      <c r="M68" s="95">
        <f>E68/B68</f>
        <v>130</v>
      </c>
      <c r="N68" s="95">
        <f>F68/B68</f>
        <v>50</v>
      </c>
      <c r="O68" s="95">
        <f>G68/B68</f>
        <v>190</v>
      </c>
      <c r="P68" s="95">
        <f>H68/B68</f>
        <v>130</v>
      </c>
    </row>
    <row r="69" spans="2:16" x14ac:dyDescent="0.35">
      <c r="B69" s="5">
        <v>70</v>
      </c>
      <c r="C69" s="95">
        <v>8000</v>
      </c>
      <c r="D69" s="95"/>
      <c r="E69" s="95"/>
      <c r="F69" s="95"/>
      <c r="G69" s="95"/>
      <c r="H69" s="95"/>
      <c r="J69" s="5">
        <v>70</v>
      </c>
      <c r="K69" s="97">
        <f t="shared" si="0"/>
        <v>114.28571428571429</v>
      </c>
      <c r="L69" s="95"/>
      <c r="M69" s="95"/>
      <c r="N69" s="95"/>
      <c r="O69" s="95"/>
      <c r="P69" s="95"/>
    </row>
    <row r="70" spans="2:16" x14ac:dyDescent="0.35">
      <c r="B70" s="5">
        <v>100</v>
      </c>
      <c r="C70" s="95">
        <v>8000</v>
      </c>
      <c r="D70" s="95"/>
      <c r="E70" s="95"/>
      <c r="F70" s="95"/>
      <c r="G70" s="95"/>
      <c r="H70" s="95"/>
      <c r="J70" s="5">
        <v>100</v>
      </c>
      <c r="K70" s="97">
        <f t="shared" si="0"/>
        <v>80</v>
      </c>
      <c r="L70" s="95"/>
      <c r="M70" s="95"/>
      <c r="N70" s="95"/>
      <c r="O70" s="95"/>
      <c r="P70" s="95"/>
    </row>
    <row r="71" spans="2:16" x14ac:dyDescent="0.35">
      <c r="B71" s="5">
        <v>150</v>
      </c>
      <c r="C71" s="95">
        <v>8000</v>
      </c>
      <c r="D71" s="95"/>
      <c r="E71" s="95"/>
      <c r="F71" s="95"/>
      <c r="G71" s="95"/>
      <c r="H71" s="95"/>
      <c r="J71" s="5">
        <v>150</v>
      </c>
      <c r="K71" s="97">
        <f t="shared" si="0"/>
        <v>53.333333333333336</v>
      </c>
      <c r="L71" s="95"/>
      <c r="M71" s="95"/>
      <c r="N71" s="95"/>
      <c r="O71" s="95"/>
      <c r="P71" s="95"/>
    </row>
    <row r="72" spans="2:16" x14ac:dyDescent="0.35">
      <c r="B72" s="5">
        <v>200</v>
      </c>
      <c r="C72" s="95">
        <v>8000</v>
      </c>
      <c r="D72" s="95"/>
      <c r="E72" s="95"/>
      <c r="F72" s="95"/>
      <c r="G72" s="95"/>
      <c r="H72" s="95"/>
      <c r="J72" s="5">
        <v>200</v>
      </c>
      <c r="K72" s="97">
        <f t="shared" si="0"/>
        <v>40</v>
      </c>
      <c r="L72" s="95"/>
      <c r="M72" s="95"/>
      <c r="N72" s="95"/>
      <c r="O72" s="95"/>
      <c r="P72" s="95"/>
    </row>
    <row r="73" spans="2:16" x14ac:dyDescent="0.35">
      <c r="B73" s="5" t="s">
        <v>188</v>
      </c>
      <c r="C73" s="76">
        <v>1</v>
      </c>
      <c r="D73" s="76">
        <v>0.9</v>
      </c>
      <c r="E73" s="76">
        <v>0.92</v>
      </c>
      <c r="F73" s="76">
        <v>0.82</v>
      </c>
      <c r="G73" s="5">
        <v>4.2</v>
      </c>
      <c r="H73" s="76">
        <v>0.03</v>
      </c>
      <c r="J73" s="5" t="s">
        <v>188</v>
      </c>
      <c r="K73" s="76">
        <v>1</v>
      </c>
      <c r="L73" s="76">
        <v>0.9</v>
      </c>
      <c r="M73" s="76">
        <v>0.92</v>
      </c>
      <c r="N73" s="76">
        <v>0.82</v>
      </c>
      <c r="O73" s="5">
        <v>4.2</v>
      </c>
      <c r="P73" s="76">
        <v>0.03</v>
      </c>
    </row>
    <row r="76" spans="2:16" x14ac:dyDescent="0.35">
      <c r="B76" s="5"/>
      <c r="C76" s="5"/>
      <c r="D76" s="5"/>
      <c r="E76" s="5" t="s">
        <v>189</v>
      </c>
      <c r="F76" s="5"/>
      <c r="G76" s="5"/>
      <c r="H76" s="5"/>
      <c r="J76" s="5"/>
      <c r="K76" s="5"/>
      <c r="L76" s="5" t="s">
        <v>247</v>
      </c>
      <c r="M76" s="5"/>
      <c r="N76" s="5"/>
      <c r="O76" s="5"/>
      <c r="P76" s="5"/>
    </row>
    <row r="77" spans="2:16" x14ac:dyDescent="0.35">
      <c r="B77" s="5" t="s">
        <v>186</v>
      </c>
      <c r="C77" s="5" t="s">
        <v>187</v>
      </c>
      <c r="D77" s="5" t="str">
        <f>D64</f>
        <v>Briketes</v>
      </c>
      <c r="E77" s="5" t="s">
        <v>132</v>
      </c>
      <c r="F77" s="5" t="s">
        <v>133</v>
      </c>
      <c r="G77" s="5" t="s">
        <v>177</v>
      </c>
      <c r="H77" s="5" t="s">
        <v>184</v>
      </c>
      <c r="J77" s="5" t="s">
        <v>179</v>
      </c>
      <c r="K77" s="5" t="s">
        <v>187</v>
      </c>
      <c r="L77" s="5" t="s">
        <v>134</v>
      </c>
      <c r="M77" s="5" t="s">
        <v>132</v>
      </c>
      <c r="N77" s="5" t="s">
        <v>133</v>
      </c>
      <c r="O77" s="5" t="s">
        <v>194</v>
      </c>
      <c r="P77" s="5" t="s">
        <v>192</v>
      </c>
    </row>
    <row r="78" spans="2:16" x14ac:dyDescent="0.35">
      <c r="B78" s="5">
        <v>10</v>
      </c>
      <c r="C78" s="95"/>
      <c r="D78" s="95">
        <v>500</v>
      </c>
      <c r="E78" s="95">
        <v>500</v>
      </c>
      <c r="F78" s="95">
        <v>500</v>
      </c>
      <c r="G78" s="95">
        <v>1200</v>
      </c>
      <c r="H78" s="95">
        <v>1000</v>
      </c>
      <c r="J78" s="5">
        <v>10</v>
      </c>
      <c r="K78" s="97">
        <f>C78/B78</f>
        <v>0</v>
      </c>
      <c r="L78" s="95">
        <f>D78/B78</f>
        <v>50</v>
      </c>
      <c r="M78" s="95">
        <f>E78/B78</f>
        <v>50</v>
      </c>
      <c r="N78" s="95">
        <f>F78/B78</f>
        <v>50</v>
      </c>
      <c r="O78" s="95">
        <f>G78/B78</f>
        <v>120</v>
      </c>
      <c r="P78" s="95">
        <f>H78/B78</f>
        <v>100</v>
      </c>
    </row>
    <row r="79" spans="2:16" x14ac:dyDescent="0.35">
      <c r="B79" s="5">
        <v>20</v>
      </c>
      <c r="C79" s="95"/>
      <c r="D79" s="95">
        <v>700</v>
      </c>
      <c r="E79" s="95">
        <v>700</v>
      </c>
      <c r="F79" s="95">
        <v>700</v>
      </c>
      <c r="G79" s="95">
        <v>1500</v>
      </c>
      <c r="H79" s="95">
        <v>1200</v>
      </c>
      <c r="J79" s="5">
        <v>20</v>
      </c>
      <c r="K79" s="97">
        <f t="shared" ref="K79:K85" si="1">C79/B79</f>
        <v>0</v>
      </c>
      <c r="L79" s="95">
        <f t="shared" ref="L79:L81" si="2">D79/B79</f>
        <v>35</v>
      </c>
      <c r="M79" s="95">
        <f t="shared" ref="M79:M81" si="3">E79/B79</f>
        <v>35</v>
      </c>
      <c r="N79" s="95">
        <f t="shared" ref="N79:N81" si="4">F79/B79</f>
        <v>35</v>
      </c>
      <c r="O79" s="95">
        <f t="shared" ref="O79:O81" si="5">G79/B79</f>
        <v>75</v>
      </c>
      <c r="P79" s="95">
        <f>H79/B79</f>
        <v>60</v>
      </c>
    </row>
    <row r="80" spans="2:16" x14ac:dyDescent="0.35">
      <c r="B80" s="5">
        <v>30</v>
      </c>
      <c r="C80" s="95"/>
      <c r="D80" s="95">
        <v>900</v>
      </c>
      <c r="E80" s="95">
        <v>900</v>
      </c>
      <c r="F80" s="95">
        <v>900</v>
      </c>
      <c r="G80" s="95">
        <v>1900</v>
      </c>
      <c r="H80" s="95">
        <v>1500</v>
      </c>
      <c r="J80" s="5">
        <v>30</v>
      </c>
      <c r="K80" s="97">
        <f t="shared" si="1"/>
        <v>0</v>
      </c>
      <c r="L80" s="95">
        <f t="shared" si="2"/>
        <v>30</v>
      </c>
      <c r="M80" s="95">
        <f t="shared" si="3"/>
        <v>30</v>
      </c>
      <c r="N80" s="95">
        <f t="shared" si="4"/>
        <v>30</v>
      </c>
      <c r="O80" s="95">
        <f t="shared" si="5"/>
        <v>63.333333333333336</v>
      </c>
      <c r="P80" s="95">
        <f>H80/B80</f>
        <v>50</v>
      </c>
    </row>
    <row r="81" spans="1:16" x14ac:dyDescent="0.35">
      <c r="B81" s="5">
        <v>50</v>
      </c>
      <c r="C81" s="95"/>
      <c r="D81" s="95">
        <v>1100</v>
      </c>
      <c r="E81" s="95">
        <v>1100</v>
      </c>
      <c r="F81" s="95">
        <v>1100</v>
      </c>
      <c r="G81" s="95">
        <v>2500</v>
      </c>
      <c r="H81" s="95">
        <v>2000</v>
      </c>
      <c r="J81" s="5">
        <v>50</v>
      </c>
      <c r="K81" s="97">
        <f t="shared" si="1"/>
        <v>0</v>
      </c>
      <c r="L81" s="95">
        <f t="shared" si="2"/>
        <v>22</v>
      </c>
      <c r="M81" s="95">
        <f t="shared" si="3"/>
        <v>22</v>
      </c>
      <c r="N81" s="95">
        <f t="shared" si="4"/>
        <v>22</v>
      </c>
      <c r="O81" s="95">
        <f t="shared" si="5"/>
        <v>50</v>
      </c>
      <c r="P81" s="95">
        <f>H81/B81</f>
        <v>40</v>
      </c>
    </row>
    <row r="82" spans="1:16" x14ac:dyDescent="0.35">
      <c r="B82" s="5">
        <v>70</v>
      </c>
      <c r="C82" s="95"/>
      <c r="D82" s="95"/>
      <c r="E82" s="95"/>
      <c r="F82" s="95"/>
      <c r="G82" s="95"/>
      <c r="H82" s="95"/>
      <c r="J82" s="5">
        <v>70</v>
      </c>
      <c r="K82" s="97">
        <f t="shared" si="1"/>
        <v>0</v>
      </c>
      <c r="L82" s="95"/>
      <c r="M82" s="95"/>
      <c r="N82" s="95"/>
      <c r="O82" s="95"/>
      <c r="P82" s="95"/>
    </row>
    <row r="83" spans="1:16" x14ac:dyDescent="0.35">
      <c r="B83" s="5">
        <v>100</v>
      </c>
      <c r="C83" s="95"/>
      <c r="D83" s="95"/>
      <c r="E83" s="95"/>
      <c r="F83" s="95"/>
      <c r="G83" s="95"/>
      <c r="H83" s="95"/>
      <c r="J83" s="5">
        <v>100</v>
      </c>
      <c r="K83" s="97">
        <f t="shared" si="1"/>
        <v>0</v>
      </c>
      <c r="L83" s="95"/>
      <c r="M83" s="95"/>
      <c r="N83" s="95"/>
      <c r="O83" s="95"/>
      <c r="P83" s="95"/>
    </row>
    <row r="84" spans="1:16" x14ac:dyDescent="0.35">
      <c r="B84" s="5">
        <v>150</v>
      </c>
      <c r="C84" s="95"/>
      <c r="D84" s="95"/>
      <c r="E84" s="95"/>
      <c r="F84" s="95"/>
      <c r="G84" s="95"/>
      <c r="H84" s="95"/>
      <c r="J84" s="5">
        <v>150</v>
      </c>
      <c r="K84" s="97">
        <f t="shared" si="1"/>
        <v>0</v>
      </c>
      <c r="L84" s="95"/>
      <c r="M84" s="95"/>
      <c r="N84" s="95"/>
      <c r="O84" s="95"/>
      <c r="P84" s="95"/>
    </row>
    <row r="85" spans="1:16" x14ac:dyDescent="0.35">
      <c r="B85" s="5">
        <v>200</v>
      </c>
      <c r="C85" s="95"/>
      <c r="D85" s="95"/>
      <c r="E85" s="95"/>
      <c r="F85" s="95"/>
      <c r="G85" s="95"/>
      <c r="H85" s="95"/>
      <c r="J85" s="5">
        <v>200</v>
      </c>
      <c r="K85" s="97">
        <f t="shared" si="1"/>
        <v>0</v>
      </c>
      <c r="L85" s="95"/>
      <c r="M85" s="95"/>
      <c r="N85" s="95"/>
      <c r="O85" s="95"/>
      <c r="P85" s="95"/>
    </row>
    <row r="86" spans="1:16" x14ac:dyDescent="0.35">
      <c r="G86" s="220" t="s">
        <v>111</v>
      </c>
      <c r="H86" s="220"/>
      <c r="J86" s="5" t="s">
        <v>188</v>
      </c>
      <c r="K86" s="76">
        <v>1</v>
      </c>
      <c r="L86" s="76">
        <v>0.9</v>
      </c>
      <c r="M86" s="76">
        <v>0.92</v>
      </c>
      <c r="N86" s="76">
        <v>0.82</v>
      </c>
      <c r="O86" s="5">
        <v>4.2</v>
      </c>
      <c r="P86" s="76">
        <v>0.03</v>
      </c>
    </row>
    <row r="87" spans="1:16" x14ac:dyDescent="0.35">
      <c r="A87" t="s">
        <v>190</v>
      </c>
      <c r="G87" t="s">
        <v>193</v>
      </c>
      <c r="H87" t="s">
        <v>180</v>
      </c>
      <c r="I87" t="s">
        <v>245</v>
      </c>
      <c r="J87" t="s">
        <v>180</v>
      </c>
    </row>
    <row r="88" spans="1:16" x14ac:dyDescent="0.35">
      <c r="B88" t="s">
        <v>191</v>
      </c>
      <c r="F88">
        <v>15</v>
      </c>
      <c r="G88" s="92">
        <v>1176</v>
      </c>
      <c r="H88">
        <v>200</v>
      </c>
      <c r="I88">
        <f>G88/F88</f>
        <v>78.400000000000006</v>
      </c>
      <c r="J88" s="95">
        <v>500</v>
      </c>
      <c r="K88">
        <f>J88/F88</f>
        <v>33.333333333333336</v>
      </c>
    </row>
    <row r="89" spans="1:16" x14ac:dyDescent="0.35">
      <c r="A89">
        <v>10</v>
      </c>
      <c r="B89">
        <v>1900</v>
      </c>
      <c r="F89">
        <v>24</v>
      </c>
      <c r="G89" s="92">
        <v>1332</v>
      </c>
      <c r="H89">
        <v>200</v>
      </c>
      <c r="I89">
        <f t="shared" ref="I89:I91" si="6">G89/F89</f>
        <v>55.5</v>
      </c>
      <c r="J89" s="95">
        <v>700</v>
      </c>
      <c r="K89">
        <f t="shared" ref="K89:K91" si="7">J89/F89</f>
        <v>29.166666666666668</v>
      </c>
    </row>
    <row r="90" spans="1:16" x14ac:dyDescent="0.35">
      <c r="A90">
        <v>20</v>
      </c>
      <c r="B90">
        <v>4000</v>
      </c>
      <c r="F90">
        <v>33</v>
      </c>
      <c r="G90" s="92">
        <v>1940</v>
      </c>
      <c r="H90">
        <v>250</v>
      </c>
      <c r="I90">
        <f t="shared" si="6"/>
        <v>58.787878787878789</v>
      </c>
      <c r="J90" s="95">
        <v>900</v>
      </c>
      <c r="K90">
        <f t="shared" si="7"/>
        <v>27.272727272727273</v>
      </c>
    </row>
    <row r="91" spans="1:16" x14ac:dyDescent="0.35">
      <c r="A91">
        <v>30</v>
      </c>
      <c r="B91">
        <v>6000</v>
      </c>
      <c r="F91">
        <v>39.9</v>
      </c>
      <c r="G91" s="92">
        <v>2253</v>
      </c>
      <c r="H91">
        <v>250</v>
      </c>
      <c r="I91">
        <f t="shared" si="6"/>
        <v>56.466165413533837</v>
      </c>
      <c r="J91" s="95">
        <v>1100</v>
      </c>
      <c r="K91">
        <f t="shared" si="7"/>
        <v>27.568922305764413</v>
      </c>
    </row>
    <row r="92" spans="1:16" x14ac:dyDescent="0.35">
      <c r="A92">
        <v>40</v>
      </c>
      <c r="B92">
        <v>8000</v>
      </c>
      <c r="F92" t="s">
        <v>188</v>
      </c>
      <c r="G92" s="219">
        <v>0.94</v>
      </c>
      <c r="H92" s="220"/>
    </row>
    <row r="93" spans="1:16" x14ac:dyDescent="0.35">
      <c r="A93">
        <v>50</v>
      </c>
      <c r="B93">
        <v>9500</v>
      </c>
    </row>
  </sheetData>
  <mergeCells count="13">
    <mergeCell ref="G92:H92"/>
    <mergeCell ref="F44:G44"/>
    <mergeCell ref="H44:I44"/>
    <mergeCell ref="E12:E14"/>
    <mergeCell ref="E15:E18"/>
    <mergeCell ref="E19:E22"/>
    <mergeCell ref="G86:H86"/>
    <mergeCell ref="A28:A29"/>
    <mergeCell ref="A31:A32"/>
    <mergeCell ref="A35:A36"/>
    <mergeCell ref="F35:I35"/>
    <mergeCell ref="F36:G36"/>
    <mergeCell ref="H36:I36"/>
  </mergeCells>
  <hyperlinks>
    <hyperlink ref="E11" r:id="rId1" xr:uid="{90AD2DC3-0024-4287-9957-AFA28CB0E3D3}"/>
  </hyperlinks>
  <pageMargins left="0.7" right="0.7" top="0.75" bottom="0.75" header="0.3" footer="0.3"/>
  <pageSetup paperSize="9" orientation="portrait" verticalDpi="0" r:id="rId2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3F584D-983B-451C-AA3E-110ABB205839}">
  <sheetPr>
    <tabColor theme="8" tint="0.59999389629810485"/>
  </sheetPr>
  <dimension ref="A1:O33"/>
  <sheetViews>
    <sheetView topLeftCell="A11" zoomScale="130" zoomScaleNormal="130" workbookViewId="0">
      <selection activeCell="A31" sqref="A31:XFD33"/>
    </sheetView>
  </sheetViews>
  <sheetFormatPr defaultColWidth="0" defaultRowHeight="14.5" zeroHeight="1" x14ac:dyDescent="0.35"/>
  <cols>
    <col min="1" max="1" width="45.6328125" customWidth="1"/>
    <col min="2" max="2" width="13.08984375" customWidth="1"/>
    <col min="3" max="3" width="12.54296875" customWidth="1"/>
    <col min="4" max="4" width="12.08984375" customWidth="1"/>
    <col min="5" max="5" width="13.81640625" hidden="1" customWidth="1"/>
    <col min="6" max="6" width="17" customWidth="1"/>
    <col min="7" max="7" width="11.08984375" hidden="1" customWidth="1"/>
    <col min="8" max="9" width="11.08984375" customWidth="1"/>
    <col min="10" max="10" width="10.1796875" customWidth="1"/>
    <col min="11" max="13" width="8.81640625" hidden="1" customWidth="1"/>
    <col min="14" max="15" width="0" hidden="1" customWidth="1"/>
    <col min="16" max="16384" width="8.81640625" hidden="1"/>
  </cols>
  <sheetData>
    <row r="1" spans="1:12" ht="15" thickBot="1" x14ac:dyDescent="0.4"/>
    <row r="2" spans="1:12" ht="17" x14ac:dyDescent="0.4">
      <c r="A2" s="158" t="s">
        <v>15</v>
      </c>
      <c r="B2" s="159"/>
      <c r="C2" s="159"/>
      <c r="D2" s="159"/>
      <c r="E2" s="159"/>
      <c r="F2" s="159"/>
      <c r="G2" s="159"/>
      <c r="H2" s="159"/>
      <c r="I2" s="160"/>
    </row>
    <row r="3" spans="1:12" x14ac:dyDescent="0.35">
      <c r="A3" s="155" t="s">
        <v>16</v>
      </c>
      <c r="B3" s="156"/>
      <c r="C3" s="156"/>
      <c r="D3" s="156"/>
      <c r="E3" s="156"/>
      <c r="F3" s="156"/>
      <c r="G3" s="156"/>
      <c r="H3" s="156"/>
      <c r="I3" s="157"/>
      <c r="L3" s="3"/>
    </row>
    <row r="4" spans="1:12" x14ac:dyDescent="0.35">
      <c r="A4" s="164" t="s">
        <v>41</v>
      </c>
      <c r="B4" s="169" t="s">
        <v>10</v>
      </c>
      <c r="C4" s="170"/>
      <c r="D4" s="170"/>
      <c r="E4" s="170"/>
      <c r="F4" s="170"/>
      <c r="G4" s="170"/>
      <c r="H4" s="170"/>
      <c r="I4" s="171"/>
      <c r="K4" s="14"/>
    </row>
    <row r="5" spans="1:12" x14ac:dyDescent="0.35">
      <c r="A5" s="164"/>
      <c r="B5" s="47" t="s">
        <v>138</v>
      </c>
      <c r="C5" s="167" t="s">
        <v>136</v>
      </c>
      <c r="D5" s="168"/>
      <c r="E5" s="167" t="s">
        <v>139</v>
      </c>
      <c r="F5" s="172"/>
      <c r="G5" s="168"/>
      <c r="H5" s="165" t="s">
        <v>140</v>
      </c>
      <c r="I5" s="166"/>
      <c r="K5" s="2"/>
    </row>
    <row r="6" spans="1:12" ht="29" customHeight="1" x14ac:dyDescent="0.35">
      <c r="A6" s="164"/>
      <c r="B6" s="17" t="s">
        <v>105</v>
      </c>
      <c r="C6" s="17" t="s">
        <v>135</v>
      </c>
      <c r="D6" s="17" t="s">
        <v>137</v>
      </c>
      <c r="E6" s="17" t="s">
        <v>133</v>
      </c>
      <c r="F6" s="17" t="s">
        <v>132</v>
      </c>
      <c r="G6" s="17" t="s">
        <v>134</v>
      </c>
      <c r="H6" s="17" t="s">
        <v>111</v>
      </c>
      <c r="I6" s="114" t="s">
        <v>107</v>
      </c>
      <c r="K6" s="15"/>
    </row>
    <row r="7" spans="1:12" ht="15" x14ac:dyDescent="0.4">
      <c r="A7" s="115" t="s">
        <v>263</v>
      </c>
      <c r="B7" s="109">
        <f>Pamatdati!B21</f>
        <v>0</v>
      </c>
      <c r="C7" s="109">
        <f>Pamatdati!B21</f>
        <v>0</v>
      </c>
      <c r="D7" s="109">
        <f>Pamatdati!B21</f>
        <v>0</v>
      </c>
      <c r="E7" s="109">
        <f>Pamatdati!B21</f>
        <v>0</v>
      </c>
      <c r="F7" s="109">
        <f>Pamatdati!B21</f>
        <v>0</v>
      </c>
      <c r="G7" s="109">
        <f>Pamatdati!B21</f>
        <v>0</v>
      </c>
      <c r="H7" s="134">
        <f>Pamatdati!B21</f>
        <v>0</v>
      </c>
      <c r="I7" s="135">
        <f>Pamatdati!B21</f>
        <v>0</v>
      </c>
      <c r="K7" s="2"/>
    </row>
    <row r="8" spans="1:12" x14ac:dyDescent="0.35">
      <c r="A8" s="116" t="s">
        <v>141</v>
      </c>
      <c r="B8" s="110">
        <v>1</v>
      </c>
      <c r="C8" s="110">
        <v>3.1</v>
      </c>
      <c r="D8" s="110">
        <v>4.0999999999999996</v>
      </c>
      <c r="E8" s="136">
        <f>'Izejas datu lapa'!F73</f>
        <v>0.82</v>
      </c>
      <c r="F8" s="136">
        <v>0.9</v>
      </c>
      <c r="G8" s="136">
        <f>'Izejas datu lapa'!D73</f>
        <v>0.9</v>
      </c>
      <c r="H8" s="136">
        <v>0.93</v>
      </c>
      <c r="I8" s="137">
        <f>H8</f>
        <v>0.93</v>
      </c>
      <c r="K8" s="2"/>
    </row>
    <row r="9" spans="1:12" ht="15" x14ac:dyDescent="0.4">
      <c r="A9" s="116" t="s">
        <v>197</v>
      </c>
      <c r="B9" s="111">
        <f>Pamatdati!B22</f>
        <v>0</v>
      </c>
      <c r="C9" s="111">
        <f>B9</f>
        <v>0</v>
      </c>
      <c r="D9" s="111">
        <f t="shared" ref="D9:I9" si="0">C9</f>
        <v>0</v>
      </c>
      <c r="E9" s="111">
        <f t="shared" si="0"/>
        <v>0</v>
      </c>
      <c r="F9" s="111">
        <f t="shared" si="0"/>
        <v>0</v>
      </c>
      <c r="G9" s="111">
        <f t="shared" si="0"/>
        <v>0</v>
      </c>
      <c r="H9" s="111">
        <f t="shared" si="0"/>
        <v>0</v>
      </c>
      <c r="I9" s="117">
        <f t="shared" si="0"/>
        <v>0</v>
      </c>
      <c r="K9" s="2"/>
    </row>
    <row r="10" spans="1:12" ht="15" x14ac:dyDescent="0.4">
      <c r="A10" s="116" t="s">
        <v>199</v>
      </c>
      <c r="B10" s="110">
        <f>Kurināmā_cenas!H22</f>
        <v>98.078400000000002</v>
      </c>
      <c r="C10" s="110">
        <f>Kurināmā_cenas!H10</f>
        <v>157.18706666666671</v>
      </c>
      <c r="D10" s="110">
        <f>Kurināmā_cenas!H10</f>
        <v>157.18706666666671</v>
      </c>
      <c r="E10" s="110">
        <f>Kurināmā_cenas!H3</f>
        <v>47.509103700401248</v>
      </c>
      <c r="F10" s="110">
        <f>Kurināmā_cenas!H6</f>
        <v>51.612543760683771</v>
      </c>
      <c r="G10" s="110">
        <f>Kurināmā_cenas!H8</f>
        <v>45.858833180828576</v>
      </c>
      <c r="H10" s="132">
        <f>Kurināmā_cenas!H15</f>
        <v>65.85499999999999</v>
      </c>
      <c r="I10" s="133">
        <f>Kurināmā_cenas!H20</f>
        <v>69.094794094794096</v>
      </c>
      <c r="K10" s="2"/>
    </row>
    <row r="11" spans="1:12" ht="15" x14ac:dyDescent="0.4">
      <c r="A11" s="116" t="s">
        <v>201</v>
      </c>
      <c r="B11" s="112" t="e">
        <f>AVERAGE('Izejas datu lapa'!C65:C72)/'Ekon.apr.dati'!B7*1000</f>
        <v>#DIV/0!</v>
      </c>
      <c r="C11" s="112" t="e">
        <f>(1950.1*C7^(-0.368))*1000</f>
        <v>#DIV/0!</v>
      </c>
      <c r="D11" s="112" t="e">
        <f>(2482.1*D7^(-0.368))*1000</f>
        <v>#DIV/0!</v>
      </c>
      <c r="E11" s="112" t="e">
        <f>(221.57*E7^(-0.397))*1000</f>
        <v>#DIV/0!</v>
      </c>
      <c r="F11" s="112" t="e">
        <f>(1954.9*F7^(-0.707))*1000</f>
        <v>#DIV/0!</v>
      </c>
      <c r="G11" s="112" t="e">
        <f>(1309.4*G7^(-0.625))*1000</f>
        <v>#DIV/0!</v>
      </c>
      <c r="H11" s="113" t="e">
        <f>(144.66*H7^(-0.189))*1000</f>
        <v>#DIV/0!</v>
      </c>
      <c r="I11" s="113" t="e">
        <f>(144.66*I7^(-0.189))*1000</f>
        <v>#DIV/0!</v>
      </c>
      <c r="K11" s="2"/>
    </row>
    <row r="12" spans="1:12" x14ac:dyDescent="0.35">
      <c r="A12" s="152" t="s">
        <v>264</v>
      </c>
      <c r="B12" s="153"/>
      <c r="C12" s="153"/>
      <c r="D12" s="153"/>
      <c r="E12" s="153"/>
      <c r="F12" s="153"/>
      <c r="G12" s="153"/>
      <c r="H12" s="153"/>
      <c r="I12" s="154"/>
    </row>
    <row r="13" spans="1:12" x14ac:dyDescent="0.35">
      <c r="A13" s="116" t="s">
        <v>20</v>
      </c>
      <c r="B13" s="109">
        <v>20</v>
      </c>
      <c r="C13" s="109">
        <v>15</v>
      </c>
      <c r="D13" s="109">
        <v>15</v>
      </c>
      <c r="E13" s="109">
        <v>20</v>
      </c>
      <c r="F13" s="109">
        <f>E13</f>
        <v>20</v>
      </c>
      <c r="G13" s="109">
        <f>F13</f>
        <v>20</v>
      </c>
      <c r="H13" s="109">
        <v>20</v>
      </c>
      <c r="I13" s="118">
        <v>20</v>
      </c>
    </row>
    <row r="14" spans="1:12" ht="15" x14ac:dyDescent="0.35">
      <c r="A14" s="119" t="s">
        <v>22</v>
      </c>
      <c r="B14" s="107" t="e">
        <f t="shared" ref="B14:I14" si="1">B21+((B11*B7/1000)/B13)+B20</f>
        <v>#DIV/0!</v>
      </c>
      <c r="C14" s="107" t="e">
        <f t="shared" si="1"/>
        <v>#DIV/0!</v>
      </c>
      <c r="D14" s="107" t="e">
        <f t="shared" si="1"/>
        <v>#DIV/0!</v>
      </c>
      <c r="E14" s="107" t="e">
        <f t="shared" si="1"/>
        <v>#DIV/0!</v>
      </c>
      <c r="F14" s="107" t="e">
        <f t="shared" si="1"/>
        <v>#DIV/0!</v>
      </c>
      <c r="G14" s="107" t="e">
        <f t="shared" si="1"/>
        <v>#DIV/0!</v>
      </c>
      <c r="H14" s="107" t="e">
        <f t="shared" si="1"/>
        <v>#DIV/0!</v>
      </c>
      <c r="I14" s="120" t="e">
        <f t="shared" si="1"/>
        <v>#DIV/0!</v>
      </c>
    </row>
    <row r="15" spans="1:12" x14ac:dyDescent="0.35">
      <c r="A15" s="121" t="s">
        <v>17</v>
      </c>
      <c r="B15" s="108" t="e">
        <f>SUM(B16:B19)</f>
        <v>#DIV/0!</v>
      </c>
      <c r="C15" s="108" t="e">
        <f t="shared" ref="C15:I15" si="2">SUM(C16:C19)</f>
        <v>#DIV/0!</v>
      </c>
      <c r="D15" s="108" t="e">
        <f t="shared" si="2"/>
        <v>#DIV/0!</v>
      </c>
      <c r="E15" s="108" t="e">
        <f t="shared" si="2"/>
        <v>#DIV/0!</v>
      </c>
      <c r="F15" s="108" t="e">
        <f t="shared" si="2"/>
        <v>#DIV/0!</v>
      </c>
      <c r="G15" s="108" t="e">
        <f t="shared" si="2"/>
        <v>#DIV/0!</v>
      </c>
      <c r="H15" s="108" t="e">
        <f t="shared" si="2"/>
        <v>#DIV/0!</v>
      </c>
      <c r="I15" s="122" t="e">
        <f t="shared" si="2"/>
        <v>#DIV/0!</v>
      </c>
    </row>
    <row r="16" spans="1:12" ht="26.5" x14ac:dyDescent="0.35">
      <c r="A16" s="123" t="s">
        <v>18</v>
      </c>
      <c r="B16" s="104">
        <v>500</v>
      </c>
      <c r="C16" s="104">
        <v>300</v>
      </c>
      <c r="D16" s="104">
        <v>300</v>
      </c>
      <c r="E16" s="104">
        <v>500</v>
      </c>
      <c r="F16" s="104">
        <v>500</v>
      </c>
      <c r="G16" s="104">
        <v>500</v>
      </c>
      <c r="H16" s="104">
        <v>500</v>
      </c>
      <c r="I16" s="124">
        <v>500</v>
      </c>
    </row>
    <row r="17" spans="1:12" x14ac:dyDescent="0.35">
      <c r="A17" s="123" t="s">
        <v>260</v>
      </c>
      <c r="B17" s="104" t="e">
        <f t="shared" ref="B17:I17" si="3">B7/1000*B11</f>
        <v>#DIV/0!</v>
      </c>
      <c r="C17" s="104" t="e">
        <f t="shared" si="3"/>
        <v>#DIV/0!</v>
      </c>
      <c r="D17" s="104" t="e">
        <f>D7/1000*D11</f>
        <v>#DIV/0!</v>
      </c>
      <c r="E17" s="104" t="e">
        <f t="shared" si="3"/>
        <v>#DIV/0!</v>
      </c>
      <c r="F17" s="104" t="e">
        <f t="shared" si="3"/>
        <v>#DIV/0!</v>
      </c>
      <c r="G17" s="104" t="e">
        <f t="shared" si="3"/>
        <v>#DIV/0!</v>
      </c>
      <c r="H17" s="104" t="e">
        <f t="shared" si="3"/>
        <v>#DIV/0!</v>
      </c>
      <c r="I17" s="124" t="e">
        <f t="shared" si="3"/>
        <v>#DIV/0!</v>
      </c>
      <c r="K17" s="2"/>
    </row>
    <row r="18" spans="1:12" x14ac:dyDescent="0.35">
      <c r="A18" s="123" t="s">
        <v>246</v>
      </c>
      <c r="B18" s="104">
        <v>0</v>
      </c>
      <c r="C18" s="104" t="e">
        <f>(353.12*C7^(-0.568))*C7</f>
        <v>#DIV/0!</v>
      </c>
      <c r="D18" s="104" t="e">
        <f>(452.06*D7^(-0.541))*D7</f>
        <v>#DIV/0!</v>
      </c>
      <c r="E18" s="104" t="e">
        <f>(159.03*E7^(-0.501))*E7</f>
        <v>#DIV/0!</v>
      </c>
      <c r="F18" s="104" t="e">
        <f>(159.03*F7^(-0.501))*F7</f>
        <v>#DIV/0!</v>
      </c>
      <c r="G18" s="104" t="e">
        <f>(159.03*G7^(-0.501))*G7</f>
        <v>#DIV/0!</v>
      </c>
      <c r="H18" s="104">
        <f>(-0.235*H7+36.91)*H7</f>
        <v>0</v>
      </c>
      <c r="I18" s="124">
        <f>(-0.235*I7+35.91)*I7</f>
        <v>0</v>
      </c>
      <c r="K18" s="2"/>
    </row>
    <row r="19" spans="1:12" ht="26.5" x14ac:dyDescent="0.35">
      <c r="A19" s="123" t="s">
        <v>19</v>
      </c>
      <c r="B19" s="104">
        <v>0</v>
      </c>
      <c r="C19" s="104">
        <v>0</v>
      </c>
      <c r="D19" s="104">
        <v>0</v>
      </c>
      <c r="E19" s="104">
        <v>0</v>
      </c>
      <c r="F19" s="104">
        <v>0</v>
      </c>
      <c r="G19" s="104">
        <v>0</v>
      </c>
      <c r="H19" s="104">
        <v>0</v>
      </c>
      <c r="I19" s="124">
        <v>0</v>
      </c>
      <c r="K19" s="2"/>
    </row>
    <row r="20" spans="1:12" ht="13.5" customHeight="1" x14ac:dyDescent="0.4">
      <c r="A20" s="125" t="s">
        <v>262</v>
      </c>
      <c r="B20" s="105">
        <v>0</v>
      </c>
      <c r="C20" s="105">
        <v>0</v>
      </c>
      <c r="D20" s="105">
        <v>0</v>
      </c>
      <c r="E20" s="105">
        <v>0</v>
      </c>
      <c r="F20" s="105">
        <v>0</v>
      </c>
      <c r="G20" s="105">
        <v>0</v>
      </c>
      <c r="H20" s="105">
        <v>0</v>
      </c>
      <c r="I20" s="126">
        <v>0</v>
      </c>
      <c r="K20" s="2"/>
    </row>
    <row r="21" spans="1:12" ht="16" customHeight="1" x14ac:dyDescent="0.35">
      <c r="A21" s="125" t="s">
        <v>261</v>
      </c>
      <c r="B21" s="105">
        <v>0</v>
      </c>
      <c r="C21" s="105">
        <v>100</v>
      </c>
      <c r="D21" s="105">
        <v>100</v>
      </c>
      <c r="E21" s="105">
        <v>100</v>
      </c>
      <c r="F21" s="105">
        <v>100</v>
      </c>
      <c r="G21" s="105">
        <v>100</v>
      </c>
      <c r="H21" s="105">
        <v>100</v>
      </c>
      <c r="I21" s="126">
        <v>100</v>
      </c>
      <c r="K21" s="4"/>
      <c r="L21" s="16"/>
    </row>
    <row r="22" spans="1:12" ht="27.5" customHeight="1" x14ac:dyDescent="0.35">
      <c r="A22" s="127" t="s">
        <v>265</v>
      </c>
      <c r="B22" s="107">
        <f>B9*(B10/B8+B24)</f>
        <v>0</v>
      </c>
      <c r="C22" s="107">
        <f t="shared" ref="C22:I22" si="4">C9*(C10/C8+C24)</f>
        <v>0</v>
      </c>
      <c r="D22" s="107">
        <f t="shared" si="4"/>
        <v>0</v>
      </c>
      <c r="E22" s="107">
        <f t="shared" si="4"/>
        <v>0</v>
      </c>
      <c r="F22" s="107">
        <f>F9*(F10/F8+F24)</f>
        <v>0</v>
      </c>
      <c r="G22" s="107">
        <f t="shared" si="4"/>
        <v>0</v>
      </c>
      <c r="H22" s="107">
        <f t="shared" si="4"/>
        <v>0</v>
      </c>
      <c r="I22" s="107">
        <f t="shared" si="4"/>
        <v>0</v>
      </c>
      <c r="K22" s="4"/>
      <c r="L22" s="16"/>
    </row>
    <row r="23" spans="1:12" x14ac:dyDescent="0.35">
      <c r="A23" s="125" t="s">
        <v>21</v>
      </c>
      <c r="B23" s="108">
        <f t="shared" ref="B23:I23" si="5">B9*(B10/B8)</f>
        <v>0</v>
      </c>
      <c r="C23" s="108">
        <f t="shared" si="5"/>
        <v>0</v>
      </c>
      <c r="D23" s="108">
        <f t="shared" si="5"/>
        <v>0</v>
      </c>
      <c r="E23" s="108">
        <f t="shared" si="5"/>
        <v>0</v>
      </c>
      <c r="F23" s="108">
        <f t="shared" si="5"/>
        <v>0</v>
      </c>
      <c r="G23" s="108">
        <f t="shared" si="5"/>
        <v>0</v>
      </c>
      <c r="H23" s="108">
        <f t="shared" si="5"/>
        <v>0</v>
      </c>
      <c r="I23" s="122">
        <f t="shared" si="5"/>
        <v>0</v>
      </c>
      <c r="K23" s="2"/>
    </row>
    <row r="24" spans="1:12" s="92" customFormat="1" ht="15" x14ac:dyDescent="0.4">
      <c r="A24" s="116" t="s">
        <v>200</v>
      </c>
      <c r="B24" s="105">
        <v>0</v>
      </c>
      <c r="C24" s="105">
        <v>0</v>
      </c>
      <c r="D24" s="105">
        <v>0</v>
      </c>
      <c r="E24" s="105">
        <v>100</v>
      </c>
      <c r="F24" s="105">
        <v>0</v>
      </c>
      <c r="G24" s="105">
        <v>100</v>
      </c>
      <c r="H24" s="105">
        <v>0</v>
      </c>
      <c r="I24" s="126">
        <v>0</v>
      </c>
      <c r="J24"/>
      <c r="K24" s="96"/>
    </row>
    <row r="25" spans="1:12" x14ac:dyDescent="0.35">
      <c r="A25" s="161" t="s">
        <v>266</v>
      </c>
      <c r="B25" s="162"/>
      <c r="C25" s="162"/>
      <c r="D25" s="162"/>
      <c r="E25" s="162"/>
      <c r="F25" s="162"/>
      <c r="G25" s="162"/>
      <c r="H25" s="162"/>
      <c r="I25" s="163"/>
      <c r="K25" s="2"/>
    </row>
    <row r="26" spans="1:12" x14ac:dyDescent="0.35">
      <c r="A26" s="116" t="s">
        <v>23</v>
      </c>
      <c r="B26" s="106" t="e">
        <f t="shared" ref="B26:I26" si="6">(B14+B22)</f>
        <v>#DIV/0!</v>
      </c>
      <c r="C26" s="106" t="e">
        <f t="shared" si="6"/>
        <v>#DIV/0!</v>
      </c>
      <c r="D26" s="106" t="e">
        <f t="shared" si="6"/>
        <v>#DIV/0!</v>
      </c>
      <c r="E26" s="106" t="e">
        <f t="shared" si="6"/>
        <v>#DIV/0!</v>
      </c>
      <c r="F26" s="106" t="e">
        <f t="shared" si="6"/>
        <v>#DIV/0!</v>
      </c>
      <c r="G26" s="106" t="e">
        <f t="shared" si="6"/>
        <v>#DIV/0!</v>
      </c>
      <c r="H26" s="106" t="e">
        <f t="shared" si="6"/>
        <v>#DIV/0!</v>
      </c>
      <c r="I26" s="128" t="e">
        <f t="shared" si="6"/>
        <v>#DIV/0!</v>
      </c>
      <c r="K26" s="2"/>
    </row>
    <row r="27" spans="1:12" x14ac:dyDescent="0.35">
      <c r="A27" s="116" t="s">
        <v>267</v>
      </c>
      <c r="B27" s="106" t="e">
        <f>B14/B9</f>
        <v>#DIV/0!</v>
      </c>
      <c r="C27" s="106" t="e">
        <f t="shared" ref="C27:I27" si="7">C14/C9</f>
        <v>#DIV/0!</v>
      </c>
      <c r="D27" s="106" t="e">
        <f t="shared" si="7"/>
        <v>#DIV/0!</v>
      </c>
      <c r="E27" s="106" t="e">
        <f t="shared" si="7"/>
        <v>#DIV/0!</v>
      </c>
      <c r="F27" s="106" t="e">
        <f t="shared" si="7"/>
        <v>#DIV/0!</v>
      </c>
      <c r="G27" s="106" t="e">
        <f t="shared" si="7"/>
        <v>#DIV/0!</v>
      </c>
      <c r="H27" s="106" t="e">
        <f t="shared" si="7"/>
        <v>#DIV/0!</v>
      </c>
      <c r="I27" s="128" t="e">
        <f t="shared" si="7"/>
        <v>#DIV/0!</v>
      </c>
      <c r="K27" s="2"/>
    </row>
    <row r="28" spans="1:12" x14ac:dyDescent="0.35">
      <c r="A28" s="116" t="s">
        <v>268</v>
      </c>
      <c r="B28" s="106" t="e">
        <f>B23/B9</f>
        <v>#DIV/0!</v>
      </c>
      <c r="C28" s="106" t="e">
        <f t="shared" ref="C28:I28" si="8">C23/C9</f>
        <v>#DIV/0!</v>
      </c>
      <c r="D28" s="106" t="e">
        <f t="shared" si="8"/>
        <v>#DIV/0!</v>
      </c>
      <c r="E28" s="106" t="e">
        <f t="shared" si="8"/>
        <v>#DIV/0!</v>
      </c>
      <c r="F28" s="106" t="e">
        <f t="shared" si="8"/>
        <v>#DIV/0!</v>
      </c>
      <c r="G28" s="106" t="e">
        <f t="shared" si="8"/>
        <v>#DIV/0!</v>
      </c>
      <c r="H28" s="106" t="e">
        <f t="shared" si="8"/>
        <v>#DIV/0!</v>
      </c>
      <c r="I28" s="128" t="e">
        <f t="shared" si="8"/>
        <v>#DIV/0!</v>
      </c>
      <c r="K28" s="2"/>
    </row>
    <row r="29" spans="1:12" ht="15.5" thickBot="1" x14ac:dyDescent="0.45">
      <c r="A29" s="129" t="s">
        <v>198</v>
      </c>
      <c r="B29" s="130" t="e">
        <f>B26/B9</f>
        <v>#DIV/0!</v>
      </c>
      <c r="C29" s="130" t="e">
        <f t="shared" ref="C29:I29" si="9">C26/C9</f>
        <v>#DIV/0!</v>
      </c>
      <c r="D29" s="130" t="e">
        <f t="shared" si="9"/>
        <v>#DIV/0!</v>
      </c>
      <c r="E29" s="130" t="e">
        <f t="shared" si="9"/>
        <v>#DIV/0!</v>
      </c>
      <c r="F29" s="130" t="e">
        <f t="shared" si="9"/>
        <v>#DIV/0!</v>
      </c>
      <c r="G29" s="130" t="e">
        <f t="shared" si="9"/>
        <v>#DIV/0!</v>
      </c>
      <c r="H29" s="130" t="e">
        <f t="shared" si="9"/>
        <v>#DIV/0!</v>
      </c>
      <c r="I29" s="131" t="e">
        <f t="shared" si="9"/>
        <v>#DIV/0!</v>
      </c>
    </row>
    <row r="30" spans="1:12" x14ac:dyDescent="0.35">
      <c r="B30" s="2"/>
      <c r="C30" s="2"/>
      <c r="D30" s="2"/>
      <c r="E30" s="2"/>
      <c r="F30" s="2"/>
      <c r="G30" s="2"/>
      <c r="H30" s="2"/>
      <c r="I30" s="2"/>
    </row>
    <row r="31" spans="1:12" x14ac:dyDescent="0.35"/>
    <row r="32" spans="1:12" x14ac:dyDescent="0.35"/>
    <row r="33" x14ac:dyDescent="0.35"/>
  </sheetData>
  <mergeCells count="9">
    <mergeCell ref="A12:I12"/>
    <mergeCell ref="A3:I3"/>
    <mergeCell ref="A2:I2"/>
    <mergeCell ref="A25:I25"/>
    <mergeCell ref="A4:A6"/>
    <mergeCell ref="H5:I5"/>
    <mergeCell ref="C5:D5"/>
    <mergeCell ref="B4:I4"/>
    <mergeCell ref="E5:G5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098674-249C-4F5F-BC43-C577DD70D387}">
  <dimension ref="A1:R58"/>
  <sheetViews>
    <sheetView zoomScale="85" zoomScaleNormal="85" workbookViewId="0">
      <selection activeCell="Q24" sqref="Q24"/>
    </sheetView>
  </sheetViews>
  <sheetFormatPr defaultColWidth="0" defaultRowHeight="14.5" zeroHeight="1" x14ac:dyDescent="0.35"/>
  <cols>
    <col min="1" max="18" width="8.81640625" customWidth="1"/>
    <col min="19" max="16384" width="8.81640625" hidden="1"/>
  </cols>
  <sheetData>
    <row r="1" x14ac:dyDescent="0.35"/>
    <row r="2" x14ac:dyDescent="0.35"/>
    <row r="3" x14ac:dyDescent="0.35"/>
    <row r="4" x14ac:dyDescent="0.35"/>
    <row r="5" x14ac:dyDescent="0.35"/>
    <row r="6" x14ac:dyDescent="0.35"/>
    <row r="7" x14ac:dyDescent="0.35"/>
    <row r="8" x14ac:dyDescent="0.35"/>
    <row r="9" x14ac:dyDescent="0.35"/>
    <row r="10" x14ac:dyDescent="0.35"/>
    <row r="11" x14ac:dyDescent="0.35"/>
    <row r="12" x14ac:dyDescent="0.35"/>
    <row r="13" x14ac:dyDescent="0.35"/>
    <row r="14" x14ac:dyDescent="0.35"/>
    <row r="15" x14ac:dyDescent="0.35"/>
    <row r="16" x14ac:dyDescent="0.35"/>
    <row r="17" x14ac:dyDescent="0.35"/>
    <row r="18" x14ac:dyDescent="0.35"/>
    <row r="19" x14ac:dyDescent="0.35"/>
    <row r="20" x14ac:dyDescent="0.35"/>
    <row r="21" x14ac:dyDescent="0.35"/>
    <row r="22" x14ac:dyDescent="0.35"/>
    <row r="23" x14ac:dyDescent="0.35"/>
    <row r="24" x14ac:dyDescent="0.35"/>
    <row r="25" x14ac:dyDescent="0.35"/>
    <row r="26" x14ac:dyDescent="0.35"/>
    <row r="27" x14ac:dyDescent="0.35"/>
    <row r="28" x14ac:dyDescent="0.35"/>
    <row r="29" x14ac:dyDescent="0.35"/>
    <row r="30" x14ac:dyDescent="0.35"/>
    <row r="31" x14ac:dyDescent="0.35"/>
    <row r="32" x14ac:dyDescent="0.35"/>
    <row r="33" x14ac:dyDescent="0.35"/>
    <row r="34" x14ac:dyDescent="0.35"/>
    <row r="35" x14ac:dyDescent="0.35"/>
    <row r="36" x14ac:dyDescent="0.35"/>
    <row r="37" x14ac:dyDescent="0.35"/>
    <row r="38" x14ac:dyDescent="0.35"/>
    <row r="39" x14ac:dyDescent="0.35"/>
    <row r="40" x14ac:dyDescent="0.35"/>
    <row r="41" x14ac:dyDescent="0.35"/>
    <row r="42" x14ac:dyDescent="0.35"/>
    <row r="43" x14ac:dyDescent="0.35"/>
    <row r="44" x14ac:dyDescent="0.35"/>
    <row r="45" x14ac:dyDescent="0.35"/>
    <row r="46" x14ac:dyDescent="0.35"/>
    <row r="47" x14ac:dyDescent="0.35"/>
    <row r="48" x14ac:dyDescent="0.35"/>
    <row r="49" x14ac:dyDescent="0.35"/>
    <row r="50" x14ac:dyDescent="0.35"/>
    <row r="51" x14ac:dyDescent="0.35"/>
    <row r="52" x14ac:dyDescent="0.35"/>
    <row r="53" x14ac:dyDescent="0.35"/>
    <row r="54" x14ac:dyDescent="0.35"/>
    <row r="55" x14ac:dyDescent="0.35"/>
    <row r="56" x14ac:dyDescent="0.35"/>
    <row r="57" x14ac:dyDescent="0.35"/>
    <row r="58" x14ac:dyDescent="0.35"/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863B0B-7534-4F41-BDA8-BD76CA4680CF}">
  <dimension ref="A1:L25"/>
  <sheetViews>
    <sheetView zoomScaleNormal="100" workbookViewId="0">
      <selection activeCell="F9" sqref="F9"/>
    </sheetView>
  </sheetViews>
  <sheetFormatPr defaultColWidth="0" defaultRowHeight="14.5" zeroHeight="1" x14ac:dyDescent="0.35"/>
  <cols>
    <col min="1" max="1" width="27.54296875" customWidth="1"/>
    <col min="2" max="2" width="20.81640625" customWidth="1"/>
    <col min="3" max="3" width="14.81640625" customWidth="1"/>
    <col min="4" max="4" width="14.36328125" customWidth="1"/>
    <col min="5" max="5" width="13.36328125" customWidth="1"/>
    <col min="6" max="6" width="14.6328125" customWidth="1"/>
    <col min="7" max="7" width="12.36328125" customWidth="1"/>
    <col min="8" max="8" width="10.1796875" customWidth="1"/>
    <col min="9" max="11" width="8.81640625" customWidth="1"/>
    <col min="12" max="12" width="0" hidden="1" customWidth="1"/>
    <col min="13" max="16384" width="8.81640625" hidden="1"/>
  </cols>
  <sheetData>
    <row r="1" spans="1:11" x14ac:dyDescent="0.35">
      <c r="A1" s="186" t="s">
        <v>128</v>
      </c>
      <c r="B1" s="188" t="s">
        <v>127</v>
      </c>
      <c r="C1" s="188" t="s">
        <v>126</v>
      </c>
      <c r="D1" s="188" t="s">
        <v>125</v>
      </c>
      <c r="E1" s="190" t="s">
        <v>124</v>
      </c>
      <c r="F1" s="188" t="s">
        <v>123</v>
      </c>
      <c r="G1" s="200" t="s">
        <v>149</v>
      </c>
      <c r="H1" s="39" t="s">
        <v>129</v>
      </c>
      <c r="I1" s="7"/>
      <c r="J1" s="7"/>
      <c r="K1" s="8"/>
    </row>
    <row r="2" spans="1:11" ht="15" thickBot="1" x14ac:dyDescent="0.4">
      <c r="A2" s="187"/>
      <c r="B2" s="189"/>
      <c r="C2" s="189"/>
      <c r="D2" s="189"/>
      <c r="E2" s="191"/>
      <c r="F2" s="189"/>
      <c r="G2" s="201"/>
      <c r="H2" s="38" t="s">
        <v>9</v>
      </c>
      <c r="K2" s="10"/>
    </row>
    <row r="3" spans="1:11" ht="29" x14ac:dyDescent="0.35">
      <c r="A3" s="30" t="s">
        <v>8</v>
      </c>
      <c r="B3" s="31" t="s">
        <v>150</v>
      </c>
      <c r="C3" s="31" t="s">
        <v>118</v>
      </c>
      <c r="D3" s="32" t="s">
        <v>117</v>
      </c>
      <c r="E3" s="33" t="s">
        <v>116</v>
      </c>
      <c r="F3" s="32" t="s">
        <v>151</v>
      </c>
      <c r="G3" s="192">
        <v>45370</v>
      </c>
      <c r="H3" s="194">
        <f>AVERAGE(B4:F4)</f>
        <v>47.509103700401248</v>
      </c>
      <c r="K3" s="10"/>
    </row>
    <row r="4" spans="1:11" ht="15" thickBot="1" x14ac:dyDescent="0.4">
      <c r="A4" s="22" t="s">
        <v>164</v>
      </c>
      <c r="B4" s="23">
        <f>50*1.8/'Izejas datu lapa'!$H$44</f>
        <v>48.149799375835933</v>
      </c>
      <c r="C4" s="24">
        <f>ROUND(58.2/'Izejas datu lapa'!$H$44,3)</f>
        <v>31.137</v>
      </c>
      <c r="D4" s="24">
        <f>AVERAGE(60,70,80)*1.8/'Izejas datu lapa'!$H$44</f>
        <v>67.409719126170302</v>
      </c>
      <c r="E4" s="24">
        <f>ROUND(445*1.12/10*1.8/'Izejas datu lapa'!$H$44,3)</f>
        <v>47.996000000000002</v>
      </c>
      <c r="F4" s="24">
        <f>ROUND(445/10*1.8/'Izejas datu lapa'!$H$44,3)</f>
        <v>42.853000000000002</v>
      </c>
      <c r="G4" s="193"/>
      <c r="H4" s="195"/>
      <c r="K4" s="10"/>
    </row>
    <row r="5" spans="1:11" ht="29" customHeight="1" thickBot="1" x14ac:dyDescent="0.4">
      <c r="A5" s="25" t="s">
        <v>122</v>
      </c>
      <c r="B5" s="199" t="s">
        <v>119</v>
      </c>
      <c r="C5" s="199"/>
      <c r="D5" s="199"/>
      <c r="E5" s="199"/>
      <c r="F5" s="199"/>
      <c r="G5" s="26">
        <v>45364</v>
      </c>
      <c r="H5" s="27">
        <f>22.15*1.12</f>
        <v>24.808</v>
      </c>
      <c r="K5" s="10"/>
    </row>
    <row r="6" spans="1:11" ht="29" x14ac:dyDescent="0.35">
      <c r="A6" s="19" t="s">
        <v>121</v>
      </c>
      <c r="B6" s="20" t="s">
        <v>119</v>
      </c>
      <c r="C6" s="21" t="s">
        <v>88</v>
      </c>
      <c r="D6" s="37" t="s">
        <v>120</v>
      </c>
      <c r="E6" s="21" t="s">
        <v>114</v>
      </c>
      <c r="F6" s="21" t="s">
        <v>113</v>
      </c>
      <c r="G6" s="196">
        <v>45370</v>
      </c>
      <c r="H6" s="179">
        <f>AVERAGE(B7:G7)/'Izejas datu lapa'!G29</f>
        <v>51.612543760683771</v>
      </c>
      <c r="K6" s="10"/>
    </row>
    <row r="7" spans="1:11" ht="15" thickBot="1" x14ac:dyDescent="0.4">
      <c r="A7" s="34" t="s">
        <v>170</v>
      </c>
      <c r="B7" s="35">
        <f>43.39*4.8*1.12</f>
        <v>233.26464000000001</v>
      </c>
      <c r="C7" s="36">
        <f>(229*1.12)/(65*15/1000)</f>
        <v>263.05641025641029</v>
      </c>
      <c r="D7" s="36">
        <f>240*1.12</f>
        <v>268.8</v>
      </c>
      <c r="E7" s="36">
        <f>234</f>
        <v>234</v>
      </c>
      <c r="F7" s="36">
        <f>ROUND(230/0.96,2)</f>
        <v>239.58</v>
      </c>
      <c r="G7" s="197"/>
      <c r="H7" s="198"/>
      <c r="I7" s="85"/>
      <c r="J7" s="86"/>
      <c r="K7" s="10"/>
    </row>
    <row r="8" spans="1:11" x14ac:dyDescent="0.35">
      <c r="A8" s="19" t="s">
        <v>172</v>
      </c>
      <c r="B8" s="28" t="s">
        <v>152</v>
      </c>
      <c r="C8" s="28" t="s">
        <v>115</v>
      </c>
      <c r="D8" s="28" t="s">
        <v>79</v>
      </c>
      <c r="E8" s="28" t="s">
        <v>114</v>
      </c>
      <c r="F8" s="28" t="s">
        <v>113</v>
      </c>
      <c r="G8" s="196">
        <v>45370</v>
      </c>
      <c r="H8" s="179">
        <f>AVERAGE(B9:F9)/'Izejas datu lapa'!I33</f>
        <v>45.858833180828576</v>
      </c>
      <c r="K8" s="10"/>
    </row>
    <row r="9" spans="1:11" ht="15" thickBot="1" x14ac:dyDescent="0.4">
      <c r="A9" s="34" t="s">
        <v>170</v>
      </c>
      <c r="B9" s="36">
        <v>267</v>
      </c>
      <c r="C9" s="36">
        <f>2.7*100</f>
        <v>270</v>
      </c>
      <c r="D9" s="36">
        <v>235</v>
      </c>
      <c r="E9" s="36">
        <v>210</v>
      </c>
      <c r="F9" s="36">
        <f>ROUND(220/0.96,2)</f>
        <v>229.17</v>
      </c>
      <c r="G9" s="197"/>
      <c r="H9" s="198"/>
      <c r="I9" s="86"/>
      <c r="J9" s="86"/>
      <c r="K9" s="10"/>
    </row>
    <row r="10" spans="1:11" x14ac:dyDescent="0.35">
      <c r="A10" s="19" t="s">
        <v>112</v>
      </c>
      <c r="B10" s="205" t="s">
        <v>269</v>
      </c>
      <c r="C10" s="205"/>
      <c r="D10" s="205"/>
      <c r="E10" s="205"/>
      <c r="F10" s="205"/>
      <c r="G10" s="196">
        <v>45383</v>
      </c>
      <c r="H10" s="179">
        <f>(AVERAGE(68.21,74.78,117.16,89,105.2,87.37)+(B12*1000))*1.21</f>
        <v>157.18706666666671</v>
      </c>
      <c r="K10" s="10"/>
    </row>
    <row r="11" spans="1:11" ht="16" customHeight="1" x14ac:dyDescent="0.35">
      <c r="A11" s="48" t="s">
        <v>153</v>
      </c>
      <c r="B11" s="206"/>
      <c r="C11" s="206"/>
      <c r="D11" s="206"/>
      <c r="E11" s="206"/>
      <c r="F11" s="206"/>
      <c r="G11" s="204"/>
      <c r="H11" s="183"/>
      <c r="K11" s="10"/>
    </row>
    <row r="12" spans="1:11" ht="16" customHeight="1" x14ac:dyDescent="0.35">
      <c r="A12" s="48" t="s">
        <v>153</v>
      </c>
      <c r="B12" s="165">
        <v>3.9620000000000002E-2</v>
      </c>
      <c r="C12" s="165"/>
      <c r="D12" s="165"/>
      <c r="E12" s="165"/>
      <c r="F12" s="165"/>
      <c r="G12" s="204"/>
      <c r="H12" s="183"/>
      <c r="K12" s="10"/>
    </row>
    <row r="13" spans="1:11" x14ac:dyDescent="0.35">
      <c r="A13" s="49" t="s">
        <v>162</v>
      </c>
      <c r="B13" s="5" t="s">
        <v>154</v>
      </c>
      <c r="C13" s="5" t="s">
        <v>155</v>
      </c>
      <c r="D13" s="42" t="s">
        <v>156</v>
      </c>
      <c r="E13" s="43" t="s">
        <v>157</v>
      </c>
      <c r="F13" s="5" t="s">
        <v>158</v>
      </c>
      <c r="G13" s="204">
        <v>45370</v>
      </c>
      <c r="H13" s="202">
        <f>AVERAGE(B14:F14)</f>
        <v>13.88</v>
      </c>
      <c r="K13" s="10"/>
    </row>
    <row r="14" spans="1:11" ht="15" thickBot="1" x14ac:dyDescent="0.4">
      <c r="A14" s="50" t="s">
        <v>159</v>
      </c>
      <c r="B14" s="51">
        <v>8.5</v>
      </c>
      <c r="C14" s="51">
        <v>10.88</v>
      </c>
      <c r="D14" s="51">
        <v>13.12</v>
      </c>
      <c r="E14" s="51">
        <v>16.399999999999999</v>
      </c>
      <c r="F14" s="51">
        <v>20.5</v>
      </c>
      <c r="G14" s="197"/>
      <c r="H14" s="203"/>
      <c r="I14" s="87" t="s">
        <v>160</v>
      </c>
      <c r="K14" s="10"/>
    </row>
    <row r="15" spans="1:11" x14ac:dyDescent="0.35">
      <c r="A15" s="19" t="s">
        <v>111</v>
      </c>
      <c r="B15" s="28" t="s">
        <v>110</v>
      </c>
      <c r="C15" s="28" t="s">
        <v>109</v>
      </c>
      <c r="D15" s="28" t="s">
        <v>108</v>
      </c>
      <c r="E15" s="175"/>
      <c r="F15" s="176"/>
      <c r="G15" s="184"/>
      <c r="H15" s="179">
        <f>AVERAGE(SUM(D16:D18),SUM(C16:C18),SUM(B16:B18))*1000</f>
        <v>65.85499999999999</v>
      </c>
      <c r="K15" s="10"/>
    </row>
    <row r="16" spans="1:11" x14ac:dyDescent="0.35">
      <c r="A16" s="52" t="s">
        <v>166</v>
      </c>
      <c r="B16" s="5">
        <v>4.9189999999999998E-2</v>
      </c>
      <c r="C16" s="5">
        <v>4.6769999999999999E-2</v>
      </c>
      <c r="D16" s="5">
        <v>4.7980000000000002E-2</v>
      </c>
      <c r="E16" s="177"/>
      <c r="F16" s="178"/>
      <c r="G16" s="185"/>
      <c r="H16" s="183"/>
      <c r="K16" s="10"/>
    </row>
    <row r="17" spans="1:11" x14ac:dyDescent="0.35">
      <c r="A17" s="59" t="s">
        <v>167</v>
      </c>
      <c r="B17" s="41">
        <v>3.2100000000000002E-3</v>
      </c>
      <c r="C17" s="41">
        <v>3.2100000000000002E-3</v>
      </c>
      <c r="D17" s="41">
        <v>3.2100000000000002E-3</v>
      </c>
      <c r="E17" s="177"/>
      <c r="F17" s="178"/>
      <c r="G17" s="185"/>
      <c r="H17" s="183"/>
      <c r="K17" s="10"/>
    </row>
    <row r="18" spans="1:11" x14ac:dyDescent="0.35">
      <c r="A18" s="52" t="s">
        <v>168</v>
      </c>
      <c r="B18" s="40">
        <v>1.4664999999999999E-2</v>
      </c>
      <c r="C18" s="40">
        <v>1.4664999999999999E-2</v>
      </c>
      <c r="D18" s="40">
        <v>1.4664999999999999E-2</v>
      </c>
      <c r="E18" s="177"/>
      <c r="F18" s="178"/>
      <c r="G18" s="185"/>
      <c r="H18" s="183"/>
      <c r="K18" s="10"/>
    </row>
    <row r="19" spans="1:11" ht="15" thickBot="1" x14ac:dyDescent="0.4">
      <c r="A19" s="54" t="s">
        <v>169</v>
      </c>
      <c r="B19" s="55">
        <v>5.59</v>
      </c>
      <c r="C19" s="55">
        <v>5.59</v>
      </c>
      <c r="D19" s="55">
        <v>5.59</v>
      </c>
      <c r="E19" s="177"/>
      <c r="F19" s="178"/>
      <c r="G19" s="185"/>
      <c r="H19" s="57">
        <f>AVERAGE(B19:D19)</f>
        <v>5.59</v>
      </c>
      <c r="I19" s="87" t="s">
        <v>160</v>
      </c>
      <c r="K19" s="10"/>
    </row>
    <row r="20" spans="1:11" x14ac:dyDescent="0.35">
      <c r="A20" s="19" t="s">
        <v>107</v>
      </c>
      <c r="B20" s="28" t="s">
        <v>106</v>
      </c>
      <c r="C20" s="28" t="s">
        <v>163</v>
      </c>
      <c r="D20" s="175"/>
      <c r="E20" s="176"/>
      <c r="F20" s="176"/>
      <c r="G20" s="176"/>
      <c r="H20" s="173">
        <f>AVERAGE(B21:C21)</f>
        <v>69.094794094794096</v>
      </c>
      <c r="K20" s="10"/>
    </row>
    <row r="21" spans="1:11" ht="15" thickBot="1" x14ac:dyDescent="0.4">
      <c r="A21" s="138" t="s">
        <v>164</v>
      </c>
      <c r="B21" s="58">
        <f>992/'Izejas datu lapa'!B12</f>
        <v>77.078477078477079</v>
      </c>
      <c r="C21" s="58">
        <f>786.5/'Izejas datu lapa'!B12</f>
        <v>61.111111111111114</v>
      </c>
      <c r="D21" s="177"/>
      <c r="E21" s="178"/>
      <c r="F21" s="178"/>
      <c r="G21" s="178"/>
      <c r="H21" s="174"/>
      <c r="K21" s="10"/>
    </row>
    <row r="22" spans="1:11" x14ac:dyDescent="0.35">
      <c r="A22" s="19" t="s">
        <v>105</v>
      </c>
      <c r="B22" s="181" t="s">
        <v>14</v>
      </c>
      <c r="C22" s="181"/>
      <c r="D22" s="181"/>
      <c r="E22" s="181"/>
      <c r="F22" s="181"/>
      <c r="G22" s="181"/>
      <c r="H22" s="179">
        <f>B23</f>
        <v>98.078400000000002</v>
      </c>
      <c r="K22" s="10"/>
    </row>
    <row r="23" spans="1:11" ht="15" thickBot="1" x14ac:dyDescent="0.4">
      <c r="A23" s="22" t="s">
        <v>165</v>
      </c>
      <c r="B23" s="182">
        <f>87.57*1.12</f>
        <v>98.078400000000002</v>
      </c>
      <c r="C23" s="182"/>
      <c r="D23" s="182"/>
      <c r="E23" s="182"/>
      <c r="F23" s="182"/>
      <c r="G23" s="182"/>
      <c r="H23" s="180"/>
      <c r="K23" s="10"/>
    </row>
    <row r="24" spans="1:11" x14ac:dyDescent="0.35">
      <c r="A24" s="88"/>
      <c r="B24" s="89"/>
      <c r="K24" s="10"/>
    </row>
    <row r="25" spans="1:11" ht="15" thickBot="1" x14ac:dyDescent="0.4">
      <c r="A25" s="90"/>
      <c r="B25" s="91"/>
      <c r="C25" s="12"/>
      <c r="D25" s="12"/>
      <c r="E25" s="12"/>
      <c r="F25" s="12"/>
      <c r="G25" s="12"/>
      <c r="H25" s="12"/>
      <c r="I25" s="12"/>
      <c r="J25" s="12"/>
      <c r="K25" s="13"/>
    </row>
  </sheetData>
  <sheetProtection selectLockedCells="1" selectUnlockedCells="1"/>
  <mergeCells count="27">
    <mergeCell ref="H13:H14"/>
    <mergeCell ref="B12:F12"/>
    <mergeCell ref="G10:G12"/>
    <mergeCell ref="H10:H12"/>
    <mergeCell ref="G13:G14"/>
    <mergeCell ref="B10:F11"/>
    <mergeCell ref="H15:H18"/>
    <mergeCell ref="E15:G19"/>
    <mergeCell ref="A1:A2"/>
    <mergeCell ref="B1:B2"/>
    <mergeCell ref="C1:C2"/>
    <mergeCell ref="D1:D2"/>
    <mergeCell ref="E1:E2"/>
    <mergeCell ref="G3:G4"/>
    <mergeCell ref="H3:H4"/>
    <mergeCell ref="G8:G9"/>
    <mergeCell ref="H8:H9"/>
    <mergeCell ref="B5:F5"/>
    <mergeCell ref="H6:H7"/>
    <mergeCell ref="G6:G7"/>
    <mergeCell ref="F1:F2"/>
    <mergeCell ref="G1:G2"/>
    <mergeCell ref="H20:H21"/>
    <mergeCell ref="D20:G21"/>
    <mergeCell ref="H22:H23"/>
    <mergeCell ref="B22:G22"/>
    <mergeCell ref="B23:G23"/>
  </mergeCells>
  <hyperlinks>
    <hyperlink ref="B5" r:id="rId1" xr:uid="{17C813D3-689D-450A-9D96-AE2F185F21E0}"/>
    <hyperlink ref="B6" r:id="rId2" xr:uid="{07279D97-7F3E-4690-80D1-CDA559D07E9F}"/>
  </hyperlinks>
  <pageMargins left="0.7" right="0.7" top="0.75" bottom="0.75" header="0.3" footer="0.3"/>
  <pageSetup paperSize="9" orientation="portrait" r:id="rId3"/>
  <legacy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F2079B-9737-4684-839B-389BA4E7B0A2}">
  <dimension ref="A1:I30"/>
  <sheetViews>
    <sheetView zoomScaleNormal="100" workbookViewId="0">
      <selection activeCell="E37" sqref="E37"/>
    </sheetView>
  </sheetViews>
  <sheetFormatPr defaultRowHeight="14.5" x14ac:dyDescent="0.35"/>
  <cols>
    <col min="1" max="1" width="38.6328125" customWidth="1"/>
    <col min="2" max="2" width="18.54296875" customWidth="1"/>
    <col min="3" max="3" width="13.81640625" customWidth="1"/>
    <col min="4" max="4" width="13.54296875" customWidth="1"/>
    <col min="5" max="5" width="13.6328125" customWidth="1"/>
    <col min="6" max="6" width="12.54296875" customWidth="1"/>
    <col min="7" max="8" width="12.1796875" customWidth="1"/>
    <col min="9" max="9" width="10.6328125" customWidth="1"/>
  </cols>
  <sheetData>
    <row r="1" spans="1:9" ht="14.5" customHeight="1" x14ac:dyDescent="0.35">
      <c r="A1" s="186" t="s">
        <v>202</v>
      </c>
      <c r="B1" s="207" t="s">
        <v>203</v>
      </c>
      <c r="C1" s="188" t="s">
        <v>127</v>
      </c>
      <c r="D1" s="188" t="s">
        <v>126</v>
      </c>
      <c r="E1" s="188" t="s">
        <v>125</v>
      </c>
      <c r="F1" s="190" t="s">
        <v>124</v>
      </c>
      <c r="G1" s="188" t="s">
        <v>123</v>
      </c>
      <c r="H1" s="188" t="s">
        <v>223</v>
      </c>
      <c r="I1" s="39" t="s">
        <v>129</v>
      </c>
    </row>
    <row r="2" spans="1:9" ht="15" thickBot="1" x14ac:dyDescent="0.4">
      <c r="A2" s="210"/>
      <c r="B2" s="208"/>
      <c r="C2" s="209"/>
      <c r="D2" s="209"/>
      <c r="E2" s="209"/>
      <c r="F2" s="211"/>
      <c r="G2" s="209"/>
      <c r="H2" s="209"/>
      <c r="I2" s="98" t="s">
        <v>179</v>
      </c>
    </row>
    <row r="3" spans="1:9" x14ac:dyDescent="0.35">
      <c r="A3" s="44" t="s">
        <v>222</v>
      </c>
      <c r="B3" s="28">
        <v>4</v>
      </c>
      <c r="C3" s="28"/>
      <c r="D3" s="28"/>
      <c r="E3" s="28"/>
      <c r="F3" s="28"/>
      <c r="G3" s="28"/>
      <c r="H3" s="28">
        <v>5994.54</v>
      </c>
      <c r="I3" s="99">
        <f>AVERAGE(C3:H3)/B3</f>
        <v>1498.635</v>
      </c>
    </row>
    <row r="4" spans="1:9" x14ac:dyDescent="0.35">
      <c r="A4" s="49" t="s">
        <v>212</v>
      </c>
      <c r="B4" s="5">
        <v>6</v>
      </c>
      <c r="C4" s="5"/>
      <c r="D4" s="5"/>
      <c r="E4" s="5">
        <v>8145</v>
      </c>
      <c r="F4" s="5"/>
      <c r="G4" s="5"/>
      <c r="H4" s="5"/>
      <c r="I4" s="100">
        <f>AVERAGE(C4:H4)/B4</f>
        <v>1357.5</v>
      </c>
    </row>
    <row r="5" spans="1:9" x14ac:dyDescent="0.35">
      <c r="A5" s="49" t="s">
        <v>216</v>
      </c>
      <c r="B5" s="5">
        <v>6</v>
      </c>
      <c r="C5" s="5"/>
      <c r="D5" s="5">
        <v>5865</v>
      </c>
      <c r="E5" s="5"/>
      <c r="F5" s="5"/>
      <c r="G5" s="5"/>
      <c r="H5" s="5"/>
      <c r="I5" s="100">
        <f t="shared" ref="I5:I27" si="0">AVERAGE(C5:H5)/B5</f>
        <v>977.5</v>
      </c>
    </row>
    <row r="6" spans="1:9" x14ac:dyDescent="0.35">
      <c r="A6" s="49" t="s">
        <v>218</v>
      </c>
      <c r="B6" s="5">
        <v>6</v>
      </c>
      <c r="C6" s="5"/>
      <c r="D6" s="5"/>
      <c r="E6" s="5"/>
      <c r="F6" s="5">
        <v>9538.98</v>
      </c>
      <c r="G6" s="5"/>
      <c r="H6" s="5"/>
      <c r="I6" s="100">
        <f t="shared" si="0"/>
        <v>1589.83</v>
      </c>
    </row>
    <row r="7" spans="1:9" x14ac:dyDescent="0.35">
      <c r="A7" s="49" t="s">
        <v>222</v>
      </c>
      <c r="B7" s="5">
        <v>6</v>
      </c>
      <c r="C7" s="5"/>
      <c r="D7" s="5"/>
      <c r="E7" s="5"/>
      <c r="F7" s="5"/>
      <c r="G7" s="5"/>
      <c r="H7" s="5">
        <v>6090.33</v>
      </c>
      <c r="I7" s="100">
        <f t="shared" si="0"/>
        <v>1015.0549999999999</v>
      </c>
    </row>
    <row r="8" spans="1:9" x14ac:dyDescent="0.35">
      <c r="A8" s="49" t="s">
        <v>210</v>
      </c>
      <c r="B8" s="5">
        <v>7</v>
      </c>
      <c r="C8" s="5">
        <v>8099</v>
      </c>
      <c r="D8" s="5"/>
      <c r="E8" s="5"/>
      <c r="F8" s="5"/>
      <c r="G8" s="5"/>
      <c r="H8" s="5"/>
      <c r="I8" s="100">
        <f t="shared" si="0"/>
        <v>1157</v>
      </c>
    </row>
    <row r="9" spans="1:9" x14ac:dyDescent="0.35">
      <c r="A9" s="49" t="s">
        <v>208</v>
      </c>
      <c r="B9" s="5">
        <v>8</v>
      </c>
      <c r="C9" s="5">
        <v>7940</v>
      </c>
      <c r="D9" s="5"/>
      <c r="E9" s="5"/>
      <c r="F9" s="5"/>
      <c r="G9" s="5"/>
      <c r="H9" s="5"/>
      <c r="I9" s="100">
        <f t="shared" si="0"/>
        <v>992.5</v>
      </c>
    </row>
    <row r="10" spans="1:9" x14ac:dyDescent="0.35">
      <c r="A10" s="49" t="s">
        <v>213</v>
      </c>
      <c r="B10" s="5">
        <v>8</v>
      </c>
      <c r="C10" s="5"/>
      <c r="D10" s="5"/>
      <c r="E10" s="5">
        <v>8775</v>
      </c>
      <c r="F10" s="5"/>
      <c r="G10" s="5"/>
      <c r="H10" s="5"/>
      <c r="I10" s="100">
        <f t="shared" si="0"/>
        <v>1096.875</v>
      </c>
    </row>
    <row r="11" spans="1:9" x14ac:dyDescent="0.35">
      <c r="A11" s="49" t="s">
        <v>219</v>
      </c>
      <c r="B11" s="5">
        <v>8</v>
      </c>
      <c r="C11" s="5"/>
      <c r="D11" s="5"/>
      <c r="E11" s="5"/>
      <c r="F11" s="5"/>
      <c r="G11" s="5">
        <v>5550</v>
      </c>
      <c r="H11" s="5"/>
      <c r="I11" s="100">
        <f t="shared" si="0"/>
        <v>693.75</v>
      </c>
    </row>
    <row r="12" spans="1:9" x14ac:dyDescent="0.35">
      <c r="A12" s="49" t="s">
        <v>222</v>
      </c>
      <c r="B12" s="5">
        <v>8</v>
      </c>
      <c r="C12" s="5"/>
      <c r="D12" s="5"/>
      <c r="E12" s="5"/>
      <c r="F12" s="5"/>
      <c r="G12" s="5"/>
      <c r="H12" s="5">
        <v>6246.63</v>
      </c>
      <c r="I12" s="100">
        <f t="shared" si="0"/>
        <v>780.82875000000001</v>
      </c>
    </row>
    <row r="13" spans="1:9" x14ac:dyDescent="0.35">
      <c r="A13" s="49" t="s">
        <v>218</v>
      </c>
      <c r="B13" s="5">
        <v>9</v>
      </c>
      <c r="C13" s="5"/>
      <c r="D13" s="5"/>
      <c r="E13" s="5"/>
      <c r="F13" s="5">
        <v>10413.65</v>
      </c>
      <c r="G13" s="5"/>
      <c r="H13" s="5"/>
      <c r="I13" s="100">
        <f t="shared" si="0"/>
        <v>1157.0722222222221</v>
      </c>
    </row>
    <row r="14" spans="1:9" x14ac:dyDescent="0.35">
      <c r="A14" s="49" t="s">
        <v>220</v>
      </c>
      <c r="B14" s="5">
        <v>9</v>
      </c>
      <c r="C14" s="5"/>
      <c r="D14" s="5"/>
      <c r="E14" s="5"/>
      <c r="F14" s="5"/>
      <c r="G14" s="5">
        <v>6475</v>
      </c>
      <c r="H14" s="5"/>
      <c r="I14" s="100">
        <f t="shared" si="0"/>
        <v>719.44444444444446</v>
      </c>
    </row>
    <row r="15" spans="1:9" x14ac:dyDescent="0.35">
      <c r="A15" s="49" t="s">
        <v>211</v>
      </c>
      <c r="B15" s="5">
        <v>10</v>
      </c>
      <c r="C15" s="5"/>
      <c r="D15" s="5">
        <v>10060</v>
      </c>
      <c r="E15" s="5"/>
      <c r="F15" s="5"/>
      <c r="G15" s="5"/>
      <c r="H15" s="5"/>
      <c r="I15" s="100">
        <f t="shared" si="0"/>
        <v>1006</v>
      </c>
    </row>
    <row r="16" spans="1:9" x14ac:dyDescent="0.35">
      <c r="A16" s="49" t="s">
        <v>209</v>
      </c>
      <c r="B16" s="5">
        <v>10</v>
      </c>
      <c r="C16" s="5">
        <v>7970</v>
      </c>
      <c r="D16" s="5"/>
      <c r="E16" s="5"/>
      <c r="F16" s="5"/>
      <c r="G16" s="5"/>
      <c r="H16" s="5"/>
      <c r="I16" s="100">
        <f t="shared" si="0"/>
        <v>797</v>
      </c>
    </row>
    <row r="17" spans="1:9" x14ac:dyDescent="0.35">
      <c r="A17" s="49" t="s">
        <v>222</v>
      </c>
      <c r="B17" s="5">
        <v>10</v>
      </c>
      <c r="C17" s="5"/>
      <c r="D17" s="5"/>
      <c r="E17" s="5"/>
      <c r="F17" s="5"/>
      <c r="G17" s="5"/>
      <c r="H17" s="5">
        <v>6503.75</v>
      </c>
      <c r="I17" s="100">
        <f t="shared" si="0"/>
        <v>650.375</v>
      </c>
    </row>
    <row r="18" spans="1:9" x14ac:dyDescent="0.35">
      <c r="A18" s="49" t="s">
        <v>214</v>
      </c>
      <c r="B18" s="5">
        <v>10.6</v>
      </c>
      <c r="C18" s="5"/>
      <c r="D18" s="5"/>
      <c r="E18" s="5">
        <v>10666</v>
      </c>
      <c r="F18" s="5"/>
      <c r="G18" s="5"/>
      <c r="H18" s="5"/>
      <c r="I18" s="100">
        <f t="shared" si="0"/>
        <v>1006.2264150943397</v>
      </c>
    </row>
    <row r="19" spans="1:9" x14ac:dyDescent="0.35">
      <c r="A19" s="49" t="s">
        <v>218</v>
      </c>
      <c r="B19" s="5">
        <v>12</v>
      </c>
      <c r="C19" s="5"/>
      <c r="D19" s="5"/>
      <c r="E19" s="5"/>
      <c r="F19" s="5">
        <v>11430.58</v>
      </c>
      <c r="G19" s="5"/>
      <c r="H19" s="5"/>
      <c r="I19" s="100">
        <f t="shared" si="0"/>
        <v>952.54833333333329</v>
      </c>
    </row>
    <row r="20" spans="1:9" x14ac:dyDescent="0.35">
      <c r="A20" s="49" t="s">
        <v>222</v>
      </c>
      <c r="B20" s="5">
        <v>12</v>
      </c>
      <c r="C20" s="5"/>
      <c r="D20" s="5"/>
      <c r="E20" s="5"/>
      <c r="F20" s="5"/>
      <c r="G20" s="5"/>
      <c r="H20" s="5">
        <v>7824.67</v>
      </c>
      <c r="I20" s="100">
        <f t="shared" si="0"/>
        <v>652.05583333333334</v>
      </c>
    </row>
    <row r="21" spans="1:9" x14ac:dyDescent="0.35">
      <c r="A21" s="49" t="s">
        <v>207</v>
      </c>
      <c r="B21" s="5">
        <v>14</v>
      </c>
      <c r="C21" s="5">
        <v>16350</v>
      </c>
      <c r="D21" s="5"/>
      <c r="E21" s="5"/>
      <c r="F21" s="5"/>
      <c r="G21" s="5"/>
      <c r="H21" s="5"/>
      <c r="I21" s="100">
        <f t="shared" si="0"/>
        <v>1167.8571428571429</v>
      </c>
    </row>
    <row r="22" spans="1:9" x14ac:dyDescent="0.35">
      <c r="A22" s="49" t="s">
        <v>222</v>
      </c>
      <c r="B22" s="5">
        <v>14</v>
      </c>
      <c r="C22" s="5"/>
      <c r="D22" s="5"/>
      <c r="E22" s="5"/>
      <c r="F22" s="5"/>
      <c r="G22" s="5"/>
      <c r="H22" s="5">
        <v>8076.75</v>
      </c>
      <c r="I22" s="100">
        <f t="shared" si="0"/>
        <v>576.91071428571433</v>
      </c>
    </row>
    <row r="23" spans="1:9" x14ac:dyDescent="0.35">
      <c r="A23" s="49" t="s">
        <v>217</v>
      </c>
      <c r="B23" s="5">
        <v>16</v>
      </c>
      <c r="C23" s="5"/>
      <c r="D23" s="5">
        <v>9641</v>
      </c>
      <c r="E23" s="5"/>
      <c r="F23" s="5"/>
      <c r="G23" s="5"/>
      <c r="H23" s="5"/>
      <c r="I23" s="100">
        <f t="shared" si="0"/>
        <v>602.5625</v>
      </c>
    </row>
    <row r="24" spans="1:9" x14ac:dyDescent="0.35">
      <c r="A24" s="49" t="s">
        <v>215</v>
      </c>
      <c r="B24" s="5">
        <v>16</v>
      </c>
      <c r="C24" s="5"/>
      <c r="D24" s="5"/>
      <c r="E24" s="5">
        <v>11880</v>
      </c>
      <c r="F24" s="5"/>
      <c r="G24" s="5"/>
      <c r="H24" s="5"/>
      <c r="I24" s="100">
        <f t="shared" si="0"/>
        <v>742.5</v>
      </c>
    </row>
    <row r="25" spans="1:9" x14ac:dyDescent="0.35">
      <c r="A25" s="49" t="s">
        <v>218</v>
      </c>
      <c r="B25" s="5">
        <v>16</v>
      </c>
      <c r="C25" s="5"/>
      <c r="D25" s="5"/>
      <c r="E25" s="5"/>
      <c r="F25" s="5">
        <v>12366.78</v>
      </c>
      <c r="G25" s="5"/>
      <c r="H25" s="5"/>
      <c r="I25" s="100">
        <f t="shared" si="0"/>
        <v>772.92375000000004</v>
      </c>
    </row>
    <row r="26" spans="1:9" x14ac:dyDescent="0.35">
      <c r="A26" s="49" t="s">
        <v>221</v>
      </c>
      <c r="B26" s="5">
        <v>16</v>
      </c>
      <c r="C26" s="5"/>
      <c r="D26" s="5"/>
      <c r="E26" s="5"/>
      <c r="F26" s="5"/>
      <c r="G26" s="5">
        <f>6330+1535</f>
        <v>7865</v>
      </c>
      <c r="H26" s="5"/>
      <c r="I26" s="100">
        <f t="shared" si="0"/>
        <v>491.5625</v>
      </c>
    </row>
    <row r="27" spans="1:9" x14ac:dyDescent="0.35">
      <c r="A27" s="49" t="s">
        <v>222</v>
      </c>
      <c r="B27" s="5">
        <v>16</v>
      </c>
      <c r="C27" s="5"/>
      <c r="D27" s="5"/>
      <c r="E27" s="5"/>
      <c r="F27" s="5"/>
      <c r="G27" s="5"/>
      <c r="H27" s="5">
        <v>8202.7900000000009</v>
      </c>
      <c r="I27" s="100">
        <f t="shared" si="0"/>
        <v>512.67437500000005</v>
      </c>
    </row>
    <row r="28" spans="1:9" x14ac:dyDescent="0.35">
      <c r="A28" s="49" t="s">
        <v>206</v>
      </c>
      <c r="B28" s="5">
        <v>19</v>
      </c>
      <c r="C28" s="5">
        <v>17500</v>
      </c>
      <c r="D28" s="5"/>
      <c r="E28" s="5"/>
      <c r="F28" s="5"/>
      <c r="G28" s="5"/>
      <c r="H28" s="5"/>
      <c r="I28" s="100">
        <f>AVERAGE(C28:H28)/B28</f>
        <v>921.0526315789474</v>
      </c>
    </row>
    <row r="29" spans="1:9" x14ac:dyDescent="0.35">
      <c r="A29" s="49" t="s">
        <v>205</v>
      </c>
      <c r="B29" s="5">
        <v>27</v>
      </c>
      <c r="C29" s="5">
        <v>23500</v>
      </c>
      <c r="D29" s="5"/>
      <c r="E29" s="5"/>
      <c r="F29" s="5"/>
      <c r="G29" s="5"/>
      <c r="H29" s="5"/>
      <c r="I29" s="100">
        <f>AVERAGE(C29:H29)/B29</f>
        <v>870.37037037037032</v>
      </c>
    </row>
    <row r="30" spans="1:9" x14ac:dyDescent="0.35">
      <c r="A30" s="49" t="s">
        <v>204</v>
      </c>
      <c r="B30" s="5">
        <v>32</v>
      </c>
      <c r="C30" s="5">
        <v>24200</v>
      </c>
      <c r="D30" s="5"/>
      <c r="E30" s="5"/>
      <c r="F30" s="5"/>
      <c r="G30" s="5"/>
      <c r="H30" s="5"/>
      <c r="I30" s="100">
        <f>AVERAGE(C30:H30)/B30</f>
        <v>756.25</v>
      </c>
    </row>
  </sheetData>
  <mergeCells count="8">
    <mergeCell ref="B1:B2"/>
    <mergeCell ref="H1:H2"/>
    <mergeCell ref="A1:A2"/>
    <mergeCell ref="C1:C2"/>
    <mergeCell ref="D1:D2"/>
    <mergeCell ref="E1:E2"/>
    <mergeCell ref="F1:F2"/>
    <mergeCell ref="G1:G2"/>
  </mergeCells>
  <phoneticPr fontId="17" type="noConversion"/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E52868-ED66-47BF-AA1D-851EA55D62F4}">
  <dimension ref="A1:J41"/>
  <sheetViews>
    <sheetView zoomScale="85" zoomScaleNormal="85" workbookViewId="0">
      <selection activeCell="C31" sqref="C31"/>
    </sheetView>
  </sheetViews>
  <sheetFormatPr defaultRowHeight="14.5" x14ac:dyDescent="0.35"/>
  <cols>
    <col min="1" max="1" width="35.453125" customWidth="1"/>
    <col min="2" max="2" width="19.453125" customWidth="1"/>
    <col min="3" max="3" width="18.54296875" customWidth="1"/>
    <col min="4" max="4" width="13.81640625" customWidth="1"/>
    <col min="5" max="5" width="13.54296875" customWidth="1"/>
    <col min="6" max="6" width="13.6328125" customWidth="1"/>
    <col min="7" max="7" width="12.54296875" customWidth="1"/>
    <col min="8" max="9" width="12.1796875" customWidth="1"/>
    <col min="10" max="10" width="10.6328125" customWidth="1"/>
  </cols>
  <sheetData>
    <row r="1" spans="1:10" ht="14.5" customHeight="1" x14ac:dyDescent="0.35">
      <c r="A1" s="186" t="s">
        <v>202</v>
      </c>
      <c r="B1" s="207" t="s">
        <v>224</v>
      </c>
      <c r="C1" s="207" t="s">
        <v>203</v>
      </c>
      <c r="D1" s="188" t="s">
        <v>127</v>
      </c>
      <c r="E1" s="188" t="s">
        <v>126</v>
      </c>
      <c r="F1" s="188" t="s">
        <v>125</v>
      </c>
      <c r="G1" s="190" t="s">
        <v>124</v>
      </c>
      <c r="H1" s="188" t="s">
        <v>123</v>
      </c>
      <c r="I1" s="188" t="s">
        <v>223</v>
      </c>
      <c r="J1" s="39" t="s">
        <v>129</v>
      </c>
    </row>
    <row r="2" spans="1:10" ht="15" thickBot="1" x14ac:dyDescent="0.4">
      <c r="A2" s="210"/>
      <c r="B2" s="208"/>
      <c r="C2" s="208"/>
      <c r="D2" s="209"/>
      <c r="E2" s="209"/>
      <c r="F2" s="209"/>
      <c r="G2" s="211"/>
      <c r="H2" s="209"/>
      <c r="I2" s="209"/>
      <c r="J2" s="98" t="s">
        <v>179</v>
      </c>
    </row>
    <row r="3" spans="1:10" x14ac:dyDescent="0.35">
      <c r="A3" s="144" t="s">
        <v>290</v>
      </c>
      <c r="B3" s="141"/>
      <c r="C3" s="28">
        <v>10</v>
      </c>
      <c r="D3" s="146">
        <v>3592.5</v>
      </c>
      <c r="E3" s="28"/>
      <c r="F3" s="28"/>
      <c r="G3" s="28"/>
      <c r="H3" s="28"/>
      <c r="I3" s="28"/>
      <c r="J3" s="99">
        <f>AVERAGE(D3:I3)/C3</f>
        <v>359.25</v>
      </c>
    </row>
    <row r="4" spans="1:10" x14ac:dyDescent="0.35">
      <c r="A4" s="145" t="s">
        <v>291</v>
      </c>
      <c r="B4" s="76"/>
      <c r="C4" s="5">
        <v>15</v>
      </c>
      <c r="D4" s="60">
        <v>3815.32</v>
      </c>
      <c r="E4" s="5"/>
      <c r="F4" s="5"/>
      <c r="G4" s="5"/>
      <c r="H4" s="5"/>
      <c r="I4" s="5"/>
      <c r="J4" s="100">
        <f t="shared" ref="J4:J18" si="0">AVERAGE(D4:I4)/C4</f>
        <v>254.35466666666667</v>
      </c>
    </row>
    <row r="5" spans="1:10" x14ac:dyDescent="0.35">
      <c r="A5" s="145" t="s">
        <v>292</v>
      </c>
      <c r="B5" s="76"/>
      <c r="C5" s="5">
        <v>20</v>
      </c>
      <c r="D5" s="60">
        <v>4090.83</v>
      </c>
      <c r="E5" s="5"/>
      <c r="F5" s="5"/>
      <c r="G5" s="5"/>
      <c r="H5" s="5"/>
      <c r="I5" s="5"/>
      <c r="J5" s="100">
        <f t="shared" si="0"/>
        <v>204.54149999999998</v>
      </c>
    </row>
    <row r="6" spans="1:10" x14ac:dyDescent="0.35">
      <c r="A6" s="145" t="s">
        <v>293</v>
      </c>
      <c r="B6" s="76"/>
      <c r="C6" s="5">
        <v>15</v>
      </c>
      <c r="D6" s="5"/>
      <c r="E6" s="60">
        <v>2995</v>
      </c>
      <c r="F6" s="5"/>
      <c r="G6" s="5"/>
      <c r="H6" s="5"/>
      <c r="I6" s="5"/>
      <c r="J6" s="100">
        <f t="shared" si="0"/>
        <v>199.66666666666666</v>
      </c>
    </row>
    <row r="7" spans="1:10" x14ac:dyDescent="0.35">
      <c r="A7" s="145" t="s">
        <v>294</v>
      </c>
      <c r="B7" s="76">
        <v>0.83</v>
      </c>
      <c r="C7" s="5">
        <v>25</v>
      </c>
      <c r="D7" s="5"/>
      <c r="E7" s="60">
        <v>3440.01</v>
      </c>
      <c r="F7" s="5"/>
      <c r="G7" s="5"/>
      <c r="H7" s="5"/>
      <c r="I7" s="5"/>
      <c r="J7" s="100">
        <f t="shared" si="0"/>
        <v>137.60040000000001</v>
      </c>
    </row>
    <row r="8" spans="1:10" x14ac:dyDescent="0.35">
      <c r="A8" s="145" t="s">
        <v>295</v>
      </c>
      <c r="B8" s="76">
        <v>0.82</v>
      </c>
      <c r="C8" s="5">
        <v>35</v>
      </c>
      <c r="D8" s="5"/>
      <c r="E8" s="60">
        <v>3740</v>
      </c>
      <c r="F8" s="5"/>
      <c r="G8" s="5"/>
      <c r="H8" s="5"/>
      <c r="I8" s="5"/>
      <c r="J8" s="100">
        <f t="shared" si="0"/>
        <v>106.85714285714286</v>
      </c>
    </row>
    <row r="9" spans="1:10" x14ac:dyDescent="0.35">
      <c r="A9" s="147" t="s">
        <v>300</v>
      </c>
      <c r="B9" s="76">
        <v>0.82</v>
      </c>
      <c r="C9" s="5">
        <v>47</v>
      </c>
      <c r="D9" s="5"/>
      <c r="E9" s="60">
        <v>4054</v>
      </c>
      <c r="F9" s="5"/>
      <c r="G9" s="5"/>
      <c r="H9" s="5"/>
      <c r="I9" s="5"/>
      <c r="J9" s="100">
        <f t="shared" si="0"/>
        <v>86.255319148936167</v>
      </c>
    </row>
    <row r="10" spans="1:10" x14ac:dyDescent="0.35">
      <c r="A10" s="145" t="s">
        <v>301</v>
      </c>
      <c r="B10" s="76">
        <v>0.9</v>
      </c>
      <c r="C10" s="5">
        <v>13</v>
      </c>
      <c r="D10" s="5"/>
      <c r="E10" s="5">
        <f>3700+550</f>
        <v>4250</v>
      </c>
      <c r="F10" s="5"/>
      <c r="G10" s="5"/>
      <c r="H10" s="5"/>
      <c r="I10" s="5"/>
      <c r="J10" s="100">
        <f t="shared" si="0"/>
        <v>326.92307692307691</v>
      </c>
    </row>
    <row r="11" spans="1:10" x14ac:dyDescent="0.35">
      <c r="A11" s="145" t="s">
        <v>302</v>
      </c>
      <c r="B11" s="76">
        <v>0.92</v>
      </c>
      <c r="C11" s="5">
        <v>16</v>
      </c>
      <c r="D11" s="5"/>
      <c r="E11" s="5">
        <f>3950+550</f>
        <v>4500</v>
      </c>
      <c r="F11" s="5"/>
      <c r="G11" s="5"/>
      <c r="H11" s="5"/>
      <c r="I11" s="5"/>
      <c r="J11" s="100">
        <f t="shared" si="0"/>
        <v>281.25</v>
      </c>
    </row>
    <row r="12" spans="1:10" x14ac:dyDescent="0.35">
      <c r="A12" s="145" t="s">
        <v>303</v>
      </c>
      <c r="B12" s="76">
        <v>0.93</v>
      </c>
      <c r="C12" s="5">
        <v>30</v>
      </c>
      <c r="D12" s="5"/>
      <c r="E12" s="5">
        <f>4600+550</f>
        <v>5150</v>
      </c>
      <c r="F12" s="5"/>
      <c r="G12" s="5"/>
      <c r="H12" s="5"/>
      <c r="I12" s="5"/>
      <c r="J12" s="100">
        <f t="shared" si="0"/>
        <v>171.66666666666666</v>
      </c>
    </row>
    <row r="13" spans="1:10" x14ac:dyDescent="0.35">
      <c r="A13" s="145" t="s">
        <v>304</v>
      </c>
      <c r="B13" s="76">
        <v>0.95</v>
      </c>
      <c r="C13" s="5">
        <v>50</v>
      </c>
      <c r="D13" s="5"/>
      <c r="E13" s="5">
        <f>6500+670</f>
        <v>7170</v>
      </c>
      <c r="F13" s="5"/>
      <c r="G13" s="5"/>
      <c r="H13" s="5"/>
      <c r="I13" s="5"/>
      <c r="J13" s="100">
        <f t="shared" si="0"/>
        <v>143.4</v>
      </c>
    </row>
    <row r="14" spans="1:10" x14ac:dyDescent="0.35">
      <c r="A14" s="145" t="s">
        <v>305</v>
      </c>
      <c r="B14" s="76">
        <v>0.94</v>
      </c>
      <c r="C14" s="5">
        <v>80</v>
      </c>
      <c r="D14" s="5"/>
      <c r="E14" s="5">
        <f>9400+800</f>
        <v>10200</v>
      </c>
      <c r="F14" s="5"/>
      <c r="G14" s="5"/>
      <c r="H14" s="5"/>
      <c r="I14" s="5"/>
      <c r="J14" s="100">
        <f t="shared" si="0"/>
        <v>127.5</v>
      </c>
    </row>
    <row r="15" spans="1:10" x14ac:dyDescent="0.35">
      <c r="A15" s="145" t="s">
        <v>306</v>
      </c>
      <c r="B15" s="76">
        <v>0.93300000000000005</v>
      </c>
      <c r="C15" s="5">
        <v>10</v>
      </c>
      <c r="D15" s="5"/>
      <c r="E15" s="5">
        <v>3415</v>
      </c>
      <c r="F15" s="5"/>
      <c r="G15" s="5"/>
      <c r="H15" s="5"/>
      <c r="I15" s="5"/>
      <c r="J15" s="100">
        <f t="shared" si="0"/>
        <v>341.5</v>
      </c>
    </row>
    <row r="16" spans="1:10" x14ac:dyDescent="0.35">
      <c r="A16" s="145" t="s">
        <v>307</v>
      </c>
      <c r="B16" s="76">
        <v>0.93400000000000005</v>
      </c>
      <c r="C16" s="5">
        <v>16</v>
      </c>
      <c r="D16" s="5"/>
      <c r="E16" s="5">
        <v>3700</v>
      </c>
      <c r="F16" s="5"/>
      <c r="G16" s="5"/>
      <c r="H16" s="5"/>
      <c r="I16" s="5"/>
      <c r="J16" s="100">
        <f t="shared" si="0"/>
        <v>231.25</v>
      </c>
    </row>
    <row r="17" spans="1:10" x14ac:dyDescent="0.35">
      <c r="A17" s="145" t="s">
        <v>308</v>
      </c>
      <c r="B17" s="76">
        <v>0.94699999999999995</v>
      </c>
      <c r="C17" s="5">
        <v>24</v>
      </c>
      <c r="D17" s="5"/>
      <c r="E17" s="5">
        <v>3840</v>
      </c>
      <c r="F17" s="5"/>
      <c r="G17" s="5"/>
      <c r="H17" s="5"/>
      <c r="I17" s="5"/>
      <c r="J17" s="100">
        <f t="shared" si="0"/>
        <v>160</v>
      </c>
    </row>
    <row r="18" spans="1:10" x14ac:dyDescent="0.35">
      <c r="A18" s="145" t="s">
        <v>309</v>
      </c>
      <c r="B18" s="76">
        <v>0.91400000000000003</v>
      </c>
      <c r="C18" s="5">
        <v>48</v>
      </c>
      <c r="D18" s="5"/>
      <c r="E18" s="5">
        <v>6120</v>
      </c>
      <c r="F18" s="5"/>
      <c r="G18" s="5"/>
      <c r="H18" s="5"/>
      <c r="I18" s="5"/>
      <c r="J18" s="100">
        <f t="shared" si="0"/>
        <v>127.5</v>
      </c>
    </row>
    <row r="19" spans="1:10" x14ac:dyDescent="0.35">
      <c r="A19" s="145"/>
      <c r="B19" s="139"/>
      <c r="C19" s="5"/>
      <c r="D19" s="5"/>
      <c r="E19" s="5"/>
      <c r="F19" s="5"/>
      <c r="G19" s="5"/>
      <c r="H19" s="5"/>
      <c r="I19" s="5"/>
      <c r="J19" s="100"/>
    </row>
    <row r="20" spans="1:10" x14ac:dyDescent="0.35">
      <c r="A20" s="145"/>
      <c r="B20" s="139"/>
      <c r="C20" s="5"/>
      <c r="D20" s="5"/>
      <c r="E20" s="5"/>
      <c r="F20" s="5"/>
      <c r="G20" s="5"/>
      <c r="H20" s="5"/>
      <c r="I20" s="5"/>
      <c r="J20" s="100"/>
    </row>
    <row r="21" spans="1:10" x14ac:dyDescent="0.35">
      <c r="A21" s="145"/>
      <c r="B21" s="139"/>
      <c r="C21" s="5"/>
      <c r="D21" s="5"/>
      <c r="E21" s="5"/>
      <c r="F21" s="5"/>
      <c r="G21" s="5"/>
      <c r="H21" s="5"/>
      <c r="I21" s="5"/>
      <c r="J21" s="100"/>
    </row>
    <row r="22" spans="1:10" x14ac:dyDescent="0.35">
      <c r="A22" s="81"/>
      <c r="B22" s="76"/>
      <c r="C22" s="5"/>
      <c r="D22" s="5"/>
      <c r="E22" s="5"/>
      <c r="F22" s="5"/>
      <c r="G22" s="5"/>
      <c r="H22" s="5"/>
      <c r="I22" s="5"/>
      <c r="J22" s="100"/>
    </row>
    <row r="23" spans="1:10" x14ac:dyDescent="0.35">
      <c r="A23" s="81"/>
      <c r="B23" s="76"/>
      <c r="C23" s="5"/>
      <c r="D23" s="5"/>
      <c r="E23" s="5"/>
      <c r="F23" s="5"/>
      <c r="G23" s="5"/>
      <c r="H23" s="5"/>
      <c r="I23" s="5"/>
      <c r="J23" s="100"/>
    </row>
    <row r="24" spans="1:10" x14ac:dyDescent="0.35">
      <c r="A24" s="81"/>
      <c r="B24" s="76"/>
      <c r="C24" s="5"/>
      <c r="D24" s="5"/>
      <c r="E24" s="5"/>
      <c r="F24" s="5"/>
      <c r="G24" s="5"/>
      <c r="H24" s="5"/>
      <c r="I24" s="5"/>
      <c r="J24" s="100"/>
    </row>
    <row r="25" spans="1:10" x14ac:dyDescent="0.35">
      <c r="A25" s="81"/>
      <c r="B25" s="76"/>
      <c r="C25" s="5"/>
      <c r="D25" s="5"/>
      <c r="E25" s="5"/>
      <c r="F25" s="5"/>
      <c r="G25" s="5"/>
      <c r="H25" s="5"/>
      <c r="I25" s="5"/>
      <c r="J25" s="100"/>
    </row>
    <row r="26" spans="1:10" x14ac:dyDescent="0.35">
      <c r="A26" s="81"/>
      <c r="B26" s="76"/>
      <c r="C26" s="5"/>
      <c r="D26" s="5"/>
      <c r="E26" s="5"/>
      <c r="F26" s="5"/>
      <c r="G26" s="5"/>
      <c r="H26" s="5"/>
      <c r="I26" s="5"/>
      <c r="J26" s="100"/>
    </row>
    <row r="27" spans="1:10" x14ac:dyDescent="0.35">
      <c r="A27" s="81"/>
      <c r="B27" s="139"/>
      <c r="C27" s="5"/>
      <c r="D27" s="5"/>
      <c r="E27" s="5"/>
      <c r="F27" s="5"/>
      <c r="G27" s="5"/>
      <c r="H27" s="5"/>
      <c r="I27" s="5"/>
      <c r="J27" s="100"/>
    </row>
    <row r="28" spans="1:10" x14ac:dyDescent="0.35">
      <c r="A28" s="81"/>
      <c r="B28" s="139"/>
      <c r="C28" s="5"/>
      <c r="D28" s="5"/>
      <c r="E28" s="5"/>
      <c r="F28" s="5"/>
      <c r="G28" s="5"/>
      <c r="H28" s="5"/>
      <c r="I28" s="5"/>
      <c r="J28" s="100"/>
    </row>
    <row r="29" spans="1:10" x14ac:dyDescent="0.35">
      <c r="A29" s="81"/>
      <c r="B29" s="139"/>
      <c r="C29" s="5"/>
      <c r="D29" s="5"/>
      <c r="E29" s="5"/>
      <c r="F29" s="5"/>
      <c r="G29" s="5"/>
      <c r="H29" s="5"/>
      <c r="I29" s="5"/>
      <c r="J29" s="100"/>
    </row>
    <row r="30" spans="1:10" x14ac:dyDescent="0.35">
      <c r="A30" s="81"/>
      <c r="B30" s="139"/>
      <c r="C30" s="5"/>
      <c r="D30" s="5"/>
      <c r="E30" s="5"/>
      <c r="F30" s="5"/>
      <c r="G30" s="5"/>
      <c r="H30" s="5"/>
      <c r="I30" s="5"/>
      <c r="J30" s="100"/>
    </row>
    <row r="31" spans="1:10" x14ac:dyDescent="0.35">
      <c r="A31" s="81"/>
      <c r="B31" s="139"/>
      <c r="C31" s="5"/>
      <c r="D31" s="5"/>
      <c r="E31" s="5"/>
      <c r="F31" s="5"/>
      <c r="G31" s="5"/>
      <c r="H31" s="5"/>
      <c r="I31" s="5"/>
      <c r="J31" s="100"/>
    </row>
    <row r="32" spans="1:10" x14ac:dyDescent="0.35">
      <c r="A32" s="143"/>
      <c r="B32" s="76"/>
      <c r="C32" s="5"/>
      <c r="D32" s="5"/>
      <c r="E32" s="5"/>
      <c r="F32" s="5"/>
      <c r="G32" s="5"/>
      <c r="H32" s="5"/>
      <c r="I32" s="5"/>
      <c r="J32" s="100"/>
    </row>
    <row r="33" spans="1:10" x14ac:dyDescent="0.35">
      <c r="A33" s="81"/>
      <c r="B33" s="76"/>
      <c r="C33" s="5"/>
      <c r="D33" s="5"/>
      <c r="E33" s="5"/>
      <c r="F33" s="5"/>
      <c r="G33" s="5"/>
      <c r="H33" s="5"/>
      <c r="I33" s="5"/>
      <c r="J33" s="100"/>
    </row>
    <row r="34" spans="1:10" x14ac:dyDescent="0.35">
      <c r="A34" s="81"/>
      <c r="B34" s="76"/>
      <c r="C34" s="5"/>
      <c r="D34" s="5"/>
      <c r="E34" s="5"/>
      <c r="F34" s="5"/>
      <c r="G34" s="5"/>
      <c r="H34" s="5"/>
      <c r="I34" s="5"/>
      <c r="J34" s="100"/>
    </row>
    <row r="35" spans="1:10" x14ac:dyDescent="0.35">
      <c r="A35" s="81"/>
      <c r="B35" s="76"/>
      <c r="C35" s="5"/>
      <c r="D35" s="5"/>
      <c r="E35" s="5"/>
      <c r="F35" s="5"/>
      <c r="G35" s="5"/>
      <c r="H35" s="5"/>
      <c r="I35" s="5"/>
      <c r="J35" s="100"/>
    </row>
    <row r="36" spans="1:10" x14ac:dyDescent="0.35">
      <c r="A36" s="49"/>
      <c r="B36" s="5"/>
      <c r="C36" s="5"/>
      <c r="D36" s="5"/>
      <c r="E36" s="5"/>
      <c r="F36" s="5"/>
      <c r="G36" s="5"/>
      <c r="H36" s="5"/>
      <c r="I36" s="5"/>
      <c r="J36" s="100"/>
    </row>
    <row r="37" spans="1:10" x14ac:dyDescent="0.35">
      <c r="A37" s="49"/>
      <c r="B37" s="5"/>
      <c r="C37" s="5"/>
      <c r="D37" s="5"/>
      <c r="E37" s="5"/>
      <c r="F37" s="5"/>
      <c r="G37" s="5"/>
      <c r="H37" s="5"/>
      <c r="I37" s="5"/>
      <c r="J37" s="100"/>
    </row>
    <row r="38" spans="1:10" x14ac:dyDescent="0.35">
      <c r="A38" s="49"/>
      <c r="B38" s="5"/>
      <c r="C38" s="5"/>
      <c r="D38" s="5"/>
      <c r="E38" s="5"/>
      <c r="F38" s="5"/>
      <c r="G38" s="5"/>
      <c r="H38" s="5"/>
      <c r="I38" s="5"/>
      <c r="J38" s="100"/>
    </row>
    <row r="39" spans="1:10" x14ac:dyDescent="0.35">
      <c r="A39" s="49"/>
      <c r="B39" s="5"/>
      <c r="C39" s="5"/>
      <c r="D39" s="5"/>
      <c r="E39" s="5"/>
      <c r="F39" s="5"/>
      <c r="G39" s="5"/>
      <c r="H39" s="5"/>
      <c r="I39" s="5"/>
      <c r="J39" s="100"/>
    </row>
    <row r="40" spans="1:10" x14ac:dyDescent="0.35">
      <c r="A40" s="49"/>
      <c r="B40" s="5"/>
      <c r="C40" s="5"/>
      <c r="D40" s="5"/>
      <c r="E40" s="5"/>
      <c r="F40" s="5"/>
      <c r="G40" s="5"/>
      <c r="H40" s="5"/>
      <c r="I40" s="5"/>
      <c r="J40" s="100"/>
    </row>
    <row r="41" spans="1:10" ht="15" thickBot="1" x14ac:dyDescent="0.4">
      <c r="A41" s="62"/>
      <c r="B41" s="53"/>
      <c r="C41" s="53"/>
      <c r="D41" s="53"/>
      <c r="E41" s="53"/>
      <c r="F41" s="53"/>
      <c r="G41" s="53"/>
      <c r="H41" s="53"/>
      <c r="I41" s="53"/>
      <c r="J41" s="101"/>
    </row>
  </sheetData>
  <mergeCells count="9">
    <mergeCell ref="G1:G2"/>
    <mergeCell ref="H1:H2"/>
    <mergeCell ref="I1:I2"/>
    <mergeCell ref="A1:A2"/>
    <mergeCell ref="B1:B2"/>
    <mergeCell ref="C1:C2"/>
    <mergeCell ref="D1:D2"/>
    <mergeCell ref="E1:E2"/>
    <mergeCell ref="F1:F2"/>
  </mergeCells>
  <phoneticPr fontId="17" type="noConversion"/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E94E66-B5EE-47FF-8CDC-285C6B511E7E}">
  <dimension ref="A1:J41"/>
  <sheetViews>
    <sheetView zoomScale="85" zoomScaleNormal="85" workbookViewId="0">
      <selection activeCell="A6" sqref="A6:A17"/>
    </sheetView>
  </sheetViews>
  <sheetFormatPr defaultRowHeight="14.5" x14ac:dyDescent="0.35"/>
  <cols>
    <col min="1" max="1" width="35.453125" customWidth="1"/>
    <col min="2" max="2" width="19.453125" customWidth="1"/>
    <col min="3" max="3" width="18.54296875" customWidth="1"/>
    <col min="4" max="4" width="13.81640625" customWidth="1"/>
    <col min="5" max="5" width="13.54296875" customWidth="1"/>
    <col min="6" max="6" width="13.6328125" customWidth="1"/>
    <col min="7" max="7" width="12.54296875" customWidth="1"/>
    <col min="8" max="9" width="12.1796875" customWidth="1"/>
    <col min="10" max="10" width="10.6328125" customWidth="1"/>
  </cols>
  <sheetData>
    <row r="1" spans="1:10" ht="14.5" customHeight="1" x14ac:dyDescent="0.35">
      <c r="A1" s="186" t="s">
        <v>202</v>
      </c>
      <c r="B1" s="207" t="s">
        <v>224</v>
      </c>
      <c r="C1" s="207" t="s">
        <v>203</v>
      </c>
      <c r="D1" s="188" t="s">
        <v>127</v>
      </c>
      <c r="E1" s="188" t="s">
        <v>126</v>
      </c>
      <c r="F1" s="188" t="s">
        <v>125</v>
      </c>
      <c r="G1" s="190" t="s">
        <v>124</v>
      </c>
      <c r="H1" s="188" t="s">
        <v>123</v>
      </c>
      <c r="I1" s="188" t="s">
        <v>223</v>
      </c>
      <c r="J1" s="39" t="s">
        <v>129</v>
      </c>
    </row>
    <row r="2" spans="1:10" ht="15" thickBot="1" x14ac:dyDescent="0.4">
      <c r="A2" s="210"/>
      <c r="B2" s="208"/>
      <c r="C2" s="208"/>
      <c r="D2" s="209"/>
      <c r="E2" s="209"/>
      <c r="F2" s="209"/>
      <c r="G2" s="211"/>
      <c r="H2" s="209"/>
      <c r="I2" s="209"/>
      <c r="J2" s="98" t="s">
        <v>179</v>
      </c>
    </row>
    <row r="3" spans="1:10" x14ac:dyDescent="0.35">
      <c r="A3" s="5" t="s">
        <v>296</v>
      </c>
      <c r="B3" s="5">
        <v>0.93</v>
      </c>
      <c r="C3" s="5">
        <v>40</v>
      </c>
      <c r="D3" s="5">
        <v>2539</v>
      </c>
      <c r="E3" s="28"/>
      <c r="F3" s="28"/>
      <c r="G3" s="28"/>
      <c r="H3" s="28"/>
      <c r="I3" s="28"/>
      <c r="J3" s="99">
        <f>AVERAGE(D3:I3)/C3</f>
        <v>63.475000000000001</v>
      </c>
    </row>
    <row r="4" spans="1:10" x14ac:dyDescent="0.35">
      <c r="A4" s="5" t="s">
        <v>297</v>
      </c>
      <c r="B4" s="5"/>
      <c r="C4" s="5">
        <v>280</v>
      </c>
      <c r="D4" s="5">
        <v>14899</v>
      </c>
      <c r="E4" s="5"/>
      <c r="F4" s="5"/>
      <c r="G4" s="5"/>
      <c r="H4" s="5"/>
      <c r="I4" s="5"/>
      <c r="J4" s="100">
        <f t="shared" ref="J4:J17" si="0">AVERAGE(D4:I4)/C4</f>
        <v>53.210714285714289</v>
      </c>
    </row>
    <row r="5" spans="1:10" x14ac:dyDescent="0.35">
      <c r="A5" s="5" t="s">
        <v>298</v>
      </c>
      <c r="B5" s="5"/>
      <c r="C5" s="5">
        <v>28</v>
      </c>
      <c r="D5" s="5">
        <v>2187</v>
      </c>
      <c r="E5" s="5"/>
      <c r="F5" s="5"/>
      <c r="G5" s="5"/>
      <c r="H5" s="5"/>
      <c r="I5" s="5"/>
      <c r="J5" s="100">
        <f t="shared" si="0"/>
        <v>78.107142857142861</v>
      </c>
    </row>
    <row r="6" spans="1:10" x14ac:dyDescent="0.35">
      <c r="A6" s="5" t="s">
        <v>299</v>
      </c>
      <c r="B6" s="5"/>
      <c r="C6" s="5">
        <v>200</v>
      </c>
      <c r="D6" s="5">
        <v>11420</v>
      </c>
      <c r="E6" s="5"/>
      <c r="F6" s="5"/>
      <c r="G6" s="5"/>
      <c r="H6" s="5"/>
      <c r="I6" s="5"/>
      <c r="J6" s="100">
        <f t="shared" si="0"/>
        <v>57.1</v>
      </c>
    </row>
    <row r="7" spans="1:10" x14ac:dyDescent="0.35">
      <c r="A7" s="5" t="s">
        <v>311</v>
      </c>
      <c r="B7" s="76"/>
      <c r="C7" s="5">
        <v>17.399999999999999</v>
      </c>
      <c r="D7" s="5"/>
      <c r="E7" s="5">
        <v>1314</v>
      </c>
      <c r="F7" s="5"/>
      <c r="G7" s="5"/>
      <c r="H7" s="5"/>
      <c r="I7" s="5"/>
      <c r="J7" s="100">
        <f t="shared" si="0"/>
        <v>75.517241379310349</v>
      </c>
    </row>
    <row r="8" spans="1:10" x14ac:dyDescent="0.35">
      <c r="A8" s="5" t="s">
        <v>312</v>
      </c>
      <c r="B8" s="76"/>
      <c r="C8" s="5">
        <v>28.5</v>
      </c>
      <c r="D8" s="5"/>
      <c r="E8" s="5">
        <v>1849</v>
      </c>
      <c r="F8" s="5"/>
      <c r="G8" s="5"/>
      <c r="H8" s="5"/>
      <c r="I8" s="5"/>
      <c r="J8" s="100">
        <f t="shared" si="0"/>
        <v>64.877192982456137</v>
      </c>
    </row>
    <row r="9" spans="1:10" x14ac:dyDescent="0.35">
      <c r="A9" s="5" t="s">
        <v>313</v>
      </c>
      <c r="B9" s="76"/>
      <c r="C9" s="5">
        <v>24</v>
      </c>
      <c r="D9" s="5"/>
      <c r="E9" s="149"/>
      <c r="F9" s="5">
        <v>1694</v>
      </c>
      <c r="G9" s="5"/>
      <c r="H9" s="5"/>
      <c r="I9" s="5"/>
      <c r="J9" s="100">
        <f t="shared" si="0"/>
        <v>70.583333333333329</v>
      </c>
    </row>
    <row r="10" spans="1:10" x14ac:dyDescent="0.35">
      <c r="A10" s="5" t="s">
        <v>316</v>
      </c>
      <c r="B10" s="76"/>
      <c r="C10" s="5">
        <v>20</v>
      </c>
      <c r="D10" s="5"/>
      <c r="E10" s="5"/>
      <c r="F10" s="5">
        <v>2467</v>
      </c>
      <c r="G10" s="5"/>
      <c r="H10" s="5"/>
      <c r="I10" s="5"/>
      <c r="J10" s="100">
        <f t="shared" si="0"/>
        <v>123.35</v>
      </c>
    </row>
    <row r="11" spans="1:10" x14ac:dyDescent="0.35">
      <c r="A11" s="5" t="s">
        <v>315</v>
      </c>
      <c r="B11" s="76"/>
      <c r="C11" s="5">
        <v>31</v>
      </c>
      <c r="D11" s="5"/>
      <c r="E11" s="5"/>
      <c r="F11" s="5">
        <v>2656.76</v>
      </c>
      <c r="G11" s="5"/>
      <c r="H11" s="5"/>
      <c r="I11" s="5"/>
      <c r="J11" s="100">
        <f t="shared" si="0"/>
        <v>85.701935483870969</v>
      </c>
    </row>
    <row r="12" spans="1:10" x14ac:dyDescent="0.35">
      <c r="A12" s="5" t="s">
        <v>314</v>
      </c>
      <c r="B12" s="76"/>
      <c r="C12" s="5">
        <v>41</v>
      </c>
      <c r="D12" s="5"/>
      <c r="E12" s="5"/>
      <c r="F12" s="5">
        <v>2799.11</v>
      </c>
      <c r="G12" s="5"/>
      <c r="H12" s="5"/>
      <c r="I12" s="5"/>
      <c r="J12" s="100">
        <f t="shared" si="0"/>
        <v>68.270975609756107</v>
      </c>
    </row>
    <row r="13" spans="1:10" x14ac:dyDescent="0.35">
      <c r="A13" s="5" t="s">
        <v>317</v>
      </c>
      <c r="B13" s="76"/>
      <c r="C13" s="5">
        <v>50</v>
      </c>
      <c r="D13" s="5"/>
      <c r="E13" s="5"/>
      <c r="F13" s="5">
        <v>3083.78</v>
      </c>
      <c r="G13" s="5"/>
      <c r="H13" s="5"/>
      <c r="I13" s="5"/>
      <c r="J13" s="100">
        <f t="shared" si="0"/>
        <v>61.675600000000003</v>
      </c>
    </row>
    <row r="14" spans="1:10" x14ac:dyDescent="0.35">
      <c r="A14" s="5" t="s">
        <v>318</v>
      </c>
      <c r="B14" s="76"/>
      <c r="C14" s="5">
        <v>16.2</v>
      </c>
      <c r="D14" s="5"/>
      <c r="E14" s="5"/>
      <c r="F14" s="5"/>
      <c r="G14" s="5">
        <v>1489</v>
      </c>
      <c r="H14" s="5"/>
      <c r="I14" s="5"/>
      <c r="J14" s="100">
        <f t="shared" si="0"/>
        <v>91.913580246913583</v>
      </c>
    </row>
    <row r="15" spans="1:10" x14ac:dyDescent="0.35">
      <c r="A15" s="5" t="s">
        <v>319</v>
      </c>
      <c r="B15" s="76"/>
      <c r="C15" s="5">
        <v>25.5</v>
      </c>
      <c r="D15" s="5"/>
      <c r="E15" s="5"/>
      <c r="F15" s="5"/>
      <c r="G15" s="5">
        <v>1520</v>
      </c>
      <c r="H15" s="5"/>
      <c r="I15" s="5"/>
      <c r="J15" s="100">
        <f t="shared" si="0"/>
        <v>59.607843137254903</v>
      </c>
    </row>
    <row r="16" spans="1:10" x14ac:dyDescent="0.35">
      <c r="A16" s="5" t="s">
        <v>320</v>
      </c>
      <c r="B16" s="76"/>
      <c r="C16" s="5">
        <v>24</v>
      </c>
      <c r="D16" s="5"/>
      <c r="E16" s="5"/>
      <c r="F16" s="5"/>
      <c r="G16" s="5">
        <v>1766</v>
      </c>
      <c r="H16" s="5"/>
      <c r="I16" s="5"/>
      <c r="J16" s="100">
        <f t="shared" si="0"/>
        <v>73.583333333333329</v>
      </c>
    </row>
    <row r="17" spans="1:10" x14ac:dyDescent="0.35">
      <c r="A17" s="5" t="s">
        <v>321</v>
      </c>
      <c r="B17" s="76"/>
      <c r="C17" s="5">
        <v>20</v>
      </c>
      <c r="D17" s="5"/>
      <c r="E17" s="5"/>
      <c r="F17" s="5"/>
      <c r="G17" s="5">
        <v>2194</v>
      </c>
      <c r="H17" s="5"/>
      <c r="I17" s="5"/>
      <c r="J17" s="100">
        <f t="shared" si="0"/>
        <v>109.7</v>
      </c>
    </row>
    <row r="18" spans="1:10" x14ac:dyDescent="0.35">
      <c r="A18" s="142"/>
      <c r="B18" s="76"/>
      <c r="C18" s="5"/>
      <c r="D18" s="5"/>
      <c r="E18" s="5"/>
      <c r="F18" s="5"/>
      <c r="G18" s="5"/>
      <c r="H18" s="5"/>
      <c r="I18" s="5"/>
      <c r="J18" s="100"/>
    </row>
    <row r="19" spans="1:10" x14ac:dyDescent="0.35">
      <c r="A19" s="142"/>
      <c r="B19" s="76"/>
      <c r="C19" s="5"/>
      <c r="D19" s="5"/>
      <c r="E19" s="5"/>
      <c r="F19" s="5"/>
      <c r="G19" s="5"/>
      <c r="H19" s="5"/>
      <c r="I19" s="5"/>
      <c r="J19" s="100"/>
    </row>
    <row r="20" spans="1:10" x14ac:dyDescent="0.35">
      <c r="A20" s="142"/>
      <c r="B20" s="76"/>
      <c r="C20" s="5"/>
      <c r="D20" s="5"/>
      <c r="E20" s="5"/>
      <c r="F20" s="5"/>
      <c r="G20" s="5"/>
      <c r="H20" s="5"/>
      <c r="I20" s="5"/>
      <c r="J20" s="100"/>
    </row>
    <row r="21" spans="1:10" x14ac:dyDescent="0.35">
      <c r="A21" s="81"/>
      <c r="B21" s="76"/>
      <c r="C21" s="5"/>
      <c r="D21" s="5"/>
      <c r="E21" s="5"/>
      <c r="F21" s="5"/>
      <c r="G21" s="5"/>
      <c r="H21" s="5"/>
      <c r="I21" s="5"/>
      <c r="J21" s="100"/>
    </row>
    <row r="22" spans="1:10" x14ac:dyDescent="0.35">
      <c r="A22" s="81"/>
      <c r="B22" s="76"/>
      <c r="C22" s="5"/>
      <c r="D22" s="5"/>
      <c r="E22" s="5"/>
      <c r="F22" s="5"/>
      <c r="G22" s="5"/>
      <c r="H22" s="5"/>
      <c r="I22" s="5"/>
      <c r="J22" s="100"/>
    </row>
    <row r="23" spans="1:10" x14ac:dyDescent="0.35">
      <c r="A23" s="81"/>
      <c r="B23" s="76"/>
      <c r="C23" s="5"/>
      <c r="D23" s="5"/>
      <c r="E23" s="5"/>
      <c r="F23" s="5"/>
      <c r="G23" s="5"/>
      <c r="H23" s="5"/>
      <c r="I23" s="5"/>
      <c r="J23" s="100"/>
    </row>
    <row r="24" spans="1:10" x14ac:dyDescent="0.35">
      <c r="A24" s="81"/>
      <c r="B24" s="76"/>
      <c r="C24" s="5"/>
      <c r="D24" s="5"/>
      <c r="E24" s="5"/>
      <c r="F24" s="5"/>
      <c r="G24" s="5"/>
      <c r="H24" s="5"/>
      <c r="I24" s="5"/>
      <c r="J24" s="100"/>
    </row>
    <row r="25" spans="1:10" x14ac:dyDescent="0.35">
      <c r="A25" s="81"/>
      <c r="B25" s="76"/>
      <c r="C25" s="5"/>
      <c r="D25" s="5"/>
      <c r="E25" s="5"/>
      <c r="F25" s="5"/>
      <c r="G25" s="5"/>
      <c r="H25" s="5"/>
      <c r="I25" s="5"/>
      <c r="J25" s="100"/>
    </row>
    <row r="26" spans="1:10" x14ac:dyDescent="0.35">
      <c r="A26" s="81"/>
      <c r="B26" s="139"/>
      <c r="C26" s="5"/>
      <c r="D26" s="5"/>
      <c r="E26" s="5"/>
      <c r="F26" s="5"/>
      <c r="G26" s="5"/>
      <c r="H26" s="5"/>
      <c r="I26" s="5"/>
      <c r="J26" s="100"/>
    </row>
    <row r="27" spans="1:10" x14ac:dyDescent="0.35">
      <c r="A27" s="81"/>
      <c r="B27" s="139"/>
      <c r="C27" s="5"/>
      <c r="D27" s="5"/>
      <c r="E27" s="5"/>
      <c r="F27" s="5"/>
      <c r="G27" s="5"/>
      <c r="H27" s="5"/>
      <c r="I27" s="5"/>
      <c r="J27" s="100"/>
    </row>
    <row r="28" spans="1:10" x14ac:dyDescent="0.35">
      <c r="A28" s="81"/>
      <c r="B28" s="139"/>
      <c r="C28" s="5"/>
      <c r="D28" s="5"/>
      <c r="E28" s="5"/>
      <c r="F28" s="5"/>
      <c r="G28" s="5"/>
      <c r="H28" s="5"/>
      <c r="I28" s="5"/>
      <c r="J28" s="100"/>
    </row>
    <row r="29" spans="1:10" x14ac:dyDescent="0.35">
      <c r="A29" s="81"/>
      <c r="B29" s="139"/>
      <c r="C29" s="5"/>
      <c r="D29" s="5"/>
      <c r="E29" s="5"/>
      <c r="F29" s="5"/>
      <c r="G29" s="5"/>
      <c r="H29" s="5"/>
      <c r="I29" s="5"/>
      <c r="J29" s="100"/>
    </row>
    <row r="30" spans="1:10" x14ac:dyDescent="0.35">
      <c r="A30" s="81"/>
      <c r="B30" s="139"/>
      <c r="C30" s="5"/>
      <c r="D30" s="5"/>
      <c r="E30" s="5"/>
      <c r="F30" s="5"/>
      <c r="G30" s="5"/>
      <c r="H30" s="5"/>
      <c r="I30" s="5"/>
      <c r="J30" s="100"/>
    </row>
    <row r="31" spans="1:10" x14ac:dyDescent="0.35">
      <c r="A31" s="81"/>
      <c r="B31" s="76"/>
      <c r="C31" s="5"/>
      <c r="D31" s="5"/>
      <c r="E31" s="5"/>
      <c r="F31" s="5"/>
      <c r="G31" s="5"/>
      <c r="H31" s="5"/>
      <c r="I31" s="5"/>
      <c r="J31" s="100"/>
    </row>
    <row r="32" spans="1:10" x14ac:dyDescent="0.35">
      <c r="A32" s="81"/>
      <c r="B32" s="76"/>
      <c r="C32" s="5"/>
      <c r="D32" s="5"/>
      <c r="E32" s="5"/>
      <c r="F32" s="5"/>
      <c r="G32" s="5"/>
      <c r="H32" s="5"/>
      <c r="I32" s="5"/>
      <c r="J32" s="100"/>
    </row>
    <row r="33" spans="1:10" x14ac:dyDescent="0.35">
      <c r="A33" s="81"/>
      <c r="B33" s="76"/>
      <c r="C33" s="5"/>
      <c r="D33" s="5"/>
      <c r="E33" s="5"/>
      <c r="F33" s="5"/>
      <c r="G33" s="5"/>
      <c r="H33" s="5"/>
      <c r="I33" s="5"/>
      <c r="J33" s="100"/>
    </row>
    <row r="34" spans="1:10" x14ac:dyDescent="0.35">
      <c r="A34" s="81"/>
      <c r="B34" s="5"/>
      <c r="C34" s="5"/>
      <c r="D34" s="5"/>
      <c r="E34" s="5"/>
      <c r="F34" s="5"/>
      <c r="G34" s="5"/>
      <c r="H34" s="5"/>
      <c r="I34" s="5"/>
      <c r="J34" s="100"/>
    </row>
    <row r="35" spans="1:10" x14ac:dyDescent="0.35">
      <c r="A35" s="81"/>
      <c r="B35" s="5"/>
      <c r="C35" s="5"/>
      <c r="D35" s="5"/>
      <c r="E35" s="5"/>
      <c r="F35" s="5"/>
      <c r="G35" s="5"/>
      <c r="H35" s="5"/>
      <c r="I35" s="5"/>
      <c r="J35" s="100"/>
    </row>
    <row r="36" spans="1:10" x14ac:dyDescent="0.35">
      <c r="A36" s="5"/>
      <c r="B36" s="76"/>
      <c r="C36" s="5"/>
      <c r="D36" s="5"/>
      <c r="E36" s="5"/>
      <c r="F36" s="5"/>
      <c r="G36" s="5"/>
      <c r="H36" s="5"/>
      <c r="I36" s="5"/>
      <c r="J36" s="100"/>
    </row>
    <row r="37" spans="1:10" x14ac:dyDescent="0.35">
      <c r="A37" s="5"/>
      <c r="B37" s="76"/>
      <c r="C37" s="5"/>
      <c r="D37" s="5"/>
      <c r="E37" s="5"/>
      <c r="F37" s="5"/>
      <c r="G37" s="5"/>
      <c r="H37" s="5"/>
      <c r="I37" s="5"/>
      <c r="J37" s="100"/>
    </row>
    <row r="38" spans="1:10" x14ac:dyDescent="0.35">
      <c r="A38" s="5"/>
      <c r="B38" s="76"/>
      <c r="C38" s="5"/>
      <c r="D38" s="5"/>
      <c r="E38" s="5"/>
      <c r="F38" s="5"/>
      <c r="G38" s="5"/>
      <c r="H38" s="5"/>
      <c r="I38" s="5"/>
      <c r="J38" s="100"/>
    </row>
    <row r="39" spans="1:10" x14ac:dyDescent="0.35">
      <c r="A39" s="5"/>
      <c r="B39" s="76"/>
      <c r="C39" s="5"/>
      <c r="D39" s="5"/>
      <c r="E39" s="5"/>
      <c r="F39" s="5"/>
      <c r="G39" s="5"/>
      <c r="H39" s="5"/>
      <c r="I39" s="5"/>
      <c r="J39" s="60"/>
    </row>
    <row r="40" spans="1:10" x14ac:dyDescent="0.35">
      <c r="A40" s="5"/>
      <c r="B40" s="76"/>
      <c r="C40" s="5"/>
      <c r="D40" s="5"/>
      <c r="E40" s="5"/>
      <c r="F40" s="5"/>
      <c r="G40" s="5"/>
      <c r="H40" s="5"/>
      <c r="I40" s="5"/>
      <c r="J40" s="60"/>
    </row>
    <row r="41" spans="1:10" x14ac:dyDescent="0.35">
      <c r="A41" s="5"/>
      <c r="B41" s="76"/>
      <c r="C41" s="5"/>
      <c r="D41" s="5"/>
      <c r="E41" s="5"/>
      <c r="F41" s="5"/>
      <c r="G41" s="5"/>
      <c r="H41" s="5"/>
      <c r="I41" s="5"/>
      <c r="J41" s="60"/>
    </row>
  </sheetData>
  <mergeCells count="9">
    <mergeCell ref="G1:G2"/>
    <mergeCell ref="H1:H2"/>
    <mergeCell ref="I1:I2"/>
    <mergeCell ref="A1:A2"/>
    <mergeCell ref="B1:B2"/>
    <mergeCell ref="C1:C2"/>
    <mergeCell ref="D1:D2"/>
    <mergeCell ref="E1:E2"/>
    <mergeCell ref="F1:F2"/>
  </mergeCells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7C5A8E-CA2F-4E83-B2F0-55D481B29C68}">
  <dimension ref="A1:J41"/>
  <sheetViews>
    <sheetView zoomScale="55" zoomScaleNormal="55" workbookViewId="0">
      <selection activeCell="H55" sqref="H55"/>
    </sheetView>
  </sheetViews>
  <sheetFormatPr defaultRowHeight="14.5" x14ac:dyDescent="0.35"/>
  <cols>
    <col min="1" max="1" width="35.453125" customWidth="1"/>
    <col min="2" max="2" width="19.453125" customWidth="1"/>
    <col min="3" max="3" width="18.54296875" customWidth="1"/>
    <col min="4" max="4" width="13.81640625" customWidth="1"/>
    <col min="5" max="5" width="13.54296875" customWidth="1"/>
    <col min="6" max="6" width="13.6328125" customWidth="1"/>
    <col min="7" max="7" width="12.54296875" customWidth="1"/>
    <col min="8" max="9" width="12.1796875" customWidth="1"/>
    <col min="10" max="10" width="10.6328125" customWidth="1"/>
  </cols>
  <sheetData>
    <row r="1" spans="1:10" ht="14.5" customHeight="1" x14ac:dyDescent="0.35">
      <c r="A1" s="186" t="s">
        <v>202</v>
      </c>
      <c r="B1" s="207" t="s">
        <v>224</v>
      </c>
      <c r="C1" s="207" t="s">
        <v>203</v>
      </c>
      <c r="D1" s="188" t="s">
        <v>127</v>
      </c>
      <c r="E1" s="188" t="s">
        <v>126</v>
      </c>
      <c r="F1" s="188" t="s">
        <v>125</v>
      </c>
      <c r="G1" s="190" t="s">
        <v>124</v>
      </c>
      <c r="H1" s="188" t="s">
        <v>123</v>
      </c>
      <c r="I1" s="188" t="s">
        <v>223</v>
      </c>
      <c r="J1" s="39" t="s">
        <v>129</v>
      </c>
    </row>
    <row r="2" spans="1:10" ht="15" thickBot="1" x14ac:dyDescent="0.4">
      <c r="A2" s="210"/>
      <c r="B2" s="208"/>
      <c r="C2" s="208"/>
      <c r="D2" s="209"/>
      <c r="E2" s="209"/>
      <c r="F2" s="209"/>
      <c r="G2" s="211"/>
      <c r="H2" s="209"/>
      <c r="I2" s="209"/>
      <c r="J2" s="98" t="s">
        <v>179</v>
      </c>
    </row>
    <row r="3" spans="1:10" x14ac:dyDescent="0.35">
      <c r="A3" s="140"/>
      <c r="B3" s="141"/>
      <c r="C3" s="28"/>
      <c r="D3" s="28"/>
      <c r="E3" s="28"/>
      <c r="F3" s="28"/>
      <c r="G3" s="28"/>
      <c r="H3" s="28"/>
      <c r="I3" s="28"/>
      <c r="J3" s="99" t="e">
        <f>AVERAGE(D3:I3)/C3</f>
        <v>#DIV/0!</v>
      </c>
    </row>
    <row r="4" spans="1:10" x14ac:dyDescent="0.35">
      <c r="A4" s="142"/>
      <c r="B4" s="76"/>
      <c r="C4" s="5"/>
      <c r="D4" s="5"/>
      <c r="E4" s="5"/>
      <c r="F4" s="5"/>
      <c r="G4" s="5"/>
      <c r="H4" s="5"/>
      <c r="I4" s="5"/>
      <c r="J4" s="100" t="e">
        <f t="shared" ref="J4:J31" si="0">AVERAGE(D4:I4)/C4</f>
        <v>#DIV/0!</v>
      </c>
    </row>
    <row r="5" spans="1:10" x14ac:dyDescent="0.35">
      <c r="A5" s="142"/>
      <c r="B5" s="76"/>
      <c r="C5" s="5"/>
      <c r="D5" s="5"/>
      <c r="E5" s="5"/>
      <c r="F5" s="5"/>
      <c r="G5" s="5"/>
      <c r="H5" s="5"/>
      <c r="I5" s="5"/>
      <c r="J5" s="100" t="e">
        <f t="shared" si="0"/>
        <v>#DIV/0!</v>
      </c>
    </row>
    <row r="6" spans="1:10" x14ac:dyDescent="0.35">
      <c r="A6" s="142"/>
      <c r="B6" s="76"/>
      <c r="C6" s="5"/>
      <c r="D6" s="5"/>
      <c r="E6" s="5"/>
      <c r="F6" s="5"/>
      <c r="G6" s="5"/>
      <c r="H6" s="5"/>
      <c r="I6" s="5"/>
      <c r="J6" s="100" t="e">
        <f t="shared" si="0"/>
        <v>#DIV/0!</v>
      </c>
    </row>
    <row r="7" spans="1:10" x14ac:dyDescent="0.35">
      <c r="A7" s="142"/>
      <c r="B7" s="76"/>
      <c r="C7" s="5"/>
      <c r="D7" s="5"/>
      <c r="E7" s="5"/>
      <c r="F7" s="5"/>
      <c r="G7" s="5"/>
      <c r="H7" s="5"/>
      <c r="I7" s="5"/>
      <c r="J7" s="100" t="e">
        <f t="shared" si="0"/>
        <v>#DIV/0!</v>
      </c>
    </row>
    <row r="8" spans="1:10" x14ac:dyDescent="0.35">
      <c r="A8" s="142"/>
      <c r="B8" s="76"/>
      <c r="C8" s="5"/>
      <c r="D8" s="5"/>
      <c r="E8" s="5"/>
      <c r="F8" s="5"/>
      <c r="G8" s="5"/>
      <c r="H8" s="5"/>
      <c r="I8" s="5"/>
      <c r="J8" s="100" t="e">
        <f t="shared" si="0"/>
        <v>#DIV/0!</v>
      </c>
    </row>
    <row r="9" spans="1:10" x14ac:dyDescent="0.35">
      <c r="A9" s="142"/>
      <c r="B9" s="76"/>
      <c r="C9" s="5"/>
      <c r="D9" s="5"/>
      <c r="E9" s="5"/>
      <c r="F9" s="5"/>
      <c r="G9" s="5"/>
      <c r="H9" s="5"/>
      <c r="I9" s="5"/>
      <c r="J9" s="100" t="e">
        <f t="shared" si="0"/>
        <v>#DIV/0!</v>
      </c>
    </row>
    <row r="10" spans="1:10" x14ac:dyDescent="0.35">
      <c r="A10" s="142"/>
      <c r="B10" s="76"/>
      <c r="C10" s="5"/>
      <c r="D10" s="5"/>
      <c r="E10" s="5"/>
      <c r="F10" s="5"/>
      <c r="G10" s="5"/>
      <c r="H10" s="5"/>
      <c r="I10" s="5"/>
      <c r="J10" s="100" t="e">
        <f t="shared" si="0"/>
        <v>#DIV/0!</v>
      </c>
    </row>
    <row r="11" spans="1:10" x14ac:dyDescent="0.35">
      <c r="A11" s="49"/>
      <c r="B11" s="76"/>
      <c r="C11" s="5"/>
      <c r="D11" s="5"/>
      <c r="E11" s="5"/>
      <c r="F11" s="5"/>
      <c r="G11" s="5"/>
      <c r="H11" s="5"/>
      <c r="I11" s="5"/>
      <c r="J11" s="100" t="e">
        <f t="shared" si="0"/>
        <v>#DIV/0!</v>
      </c>
    </row>
    <row r="12" spans="1:10" x14ac:dyDescent="0.35">
      <c r="A12" s="142"/>
      <c r="B12" s="76"/>
      <c r="C12" s="5"/>
      <c r="D12" s="5"/>
      <c r="E12" s="5"/>
      <c r="F12" s="5"/>
      <c r="G12" s="5"/>
      <c r="H12" s="5"/>
      <c r="I12" s="5"/>
      <c r="J12" s="100" t="e">
        <f t="shared" si="0"/>
        <v>#DIV/0!</v>
      </c>
    </row>
    <row r="13" spans="1:10" x14ac:dyDescent="0.35">
      <c r="A13" s="142"/>
      <c r="B13" s="76"/>
      <c r="C13" s="5"/>
      <c r="D13" s="5"/>
      <c r="E13" s="5"/>
      <c r="F13" s="5"/>
      <c r="G13" s="5"/>
      <c r="H13" s="5"/>
      <c r="I13" s="5"/>
      <c r="J13" s="100" t="e">
        <f t="shared" si="0"/>
        <v>#DIV/0!</v>
      </c>
    </row>
    <row r="14" spans="1:10" x14ac:dyDescent="0.35">
      <c r="A14" s="49"/>
      <c r="B14" s="76"/>
      <c r="C14" s="5"/>
      <c r="D14" s="5"/>
      <c r="E14" s="5"/>
      <c r="F14" s="5"/>
      <c r="G14" s="5"/>
      <c r="H14" s="5"/>
      <c r="I14" s="5"/>
      <c r="J14" s="100" t="e">
        <f t="shared" si="0"/>
        <v>#DIV/0!</v>
      </c>
    </row>
    <row r="15" spans="1:10" x14ac:dyDescent="0.35">
      <c r="A15" s="142"/>
      <c r="B15" s="76"/>
      <c r="C15" s="5"/>
      <c r="D15" s="5"/>
      <c r="E15" s="5"/>
      <c r="F15" s="5"/>
      <c r="G15" s="5"/>
      <c r="H15" s="5"/>
      <c r="I15" s="5"/>
      <c r="J15" s="100" t="e">
        <f t="shared" si="0"/>
        <v>#DIV/0!</v>
      </c>
    </row>
    <row r="16" spans="1:10" x14ac:dyDescent="0.35">
      <c r="A16" s="49"/>
      <c r="B16" s="76"/>
      <c r="C16" s="5"/>
      <c r="D16" s="5"/>
      <c r="E16" s="5"/>
      <c r="F16" s="5"/>
      <c r="G16" s="5"/>
      <c r="H16" s="5"/>
      <c r="I16" s="5"/>
      <c r="J16" s="100" t="e">
        <f t="shared" si="0"/>
        <v>#DIV/0!</v>
      </c>
    </row>
    <row r="17" spans="1:10" x14ac:dyDescent="0.35">
      <c r="A17" s="142"/>
      <c r="B17" s="76"/>
      <c r="C17" s="5"/>
      <c r="D17" s="5"/>
      <c r="E17" s="5"/>
      <c r="F17" s="5"/>
      <c r="G17" s="5"/>
      <c r="H17" s="5"/>
      <c r="I17" s="5"/>
      <c r="J17" s="100" t="e">
        <f t="shared" si="0"/>
        <v>#DIV/0!</v>
      </c>
    </row>
    <row r="18" spans="1:10" x14ac:dyDescent="0.35">
      <c r="A18" s="142"/>
      <c r="B18" s="76"/>
      <c r="C18" s="5"/>
      <c r="D18" s="5"/>
      <c r="E18" s="5"/>
      <c r="F18" s="5"/>
      <c r="G18" s="5"/>
      <c r="H18" s="5"/>
      <c r="I18" s="5"/>
      <c r="J18" s="100" t="e">
        <f t="shared" si="0"/>
        <v>#DIV/0!</v>
      </c>
    </row>
    <row r="19" spans="1:10" x14ac:dyDescent="0.35">
      <c r="A19" s="142"/>
      <c r="B19" s="76"/>
      <c r="C19" s="5"/>
      <c r="D19" s="5"/>
      <c r="E19" s="5"/>
      <c r="F19" s="5"/>
      <c r="G19" s="5"/>
      <c r="H19" s="5"/>
      <c r="I19" s="5"/>
      <c r="J19" s="100" t="e">
        <f t="shared" si="0"/>
        <v>#DIV/0!</v>
      </c>
    </row>
    <row r="20" spans="1:10" x14ac:dyDescent="0.35">
      <c r="A20" s="142"/>
      <c r="B20" s="76"/>
      <c r="C20" s="5"/>
      <c r="D20" s="5"/>
      <c r="E20" s="5"/>
      <c r="F20" s="5"/>
      <c r="G20" s="5"/>
      <c r="H20" s="5"/>
      <c r="I20" s="5"/>
      <c r="J20" s="100" t="e">
        <f t="shared" si="0"/>
        <v>#DIV/0!</v>
      </c>
    </row>
    <row r="21" spans="1:10" x14ac:dyDescent="0.35">
      <c r="A21" s="142"/>
      <c r="B21" s="76"/>
      <c r="C21" s="5"/>
      <c r="D21" s="5"/>
      <c r="E21" s="5"/>
      <c r="F21" s="5"/>
      <c r="G21" s="5"/>
      <c r="H21" s="5"/>
      <c r="I21" s="5"/>
      <c r="J21" s="100" t="e">
        <f t="shared" si="0"/>
        <v>#DIV/0!</v>
      </c>
    </row>
    <row r="22" spans="1:10" x14ac:dyDescent="0.35">
      <c r="A22" s="81"/>
      <c r="B22" s="76"/>
      <c r="C22" s="5"/>
      <c r="D22" s="5"/>
      <c r="E22" s="5"/>
      <c r="F22" s="5"/>
      <c r="G22" s="5"/>
      <c r="H22" s="5"/>
      <c r="I22" s="5"/>
      <c r="J22" s="100" t="e">
        <f t="shared" si="0"/>
        <v>#DIV/0!</v>
      </c>
    </row>
    <row r="23" spans="1:10" x14ac:dyDescent="0.35">
      <c r="A23" s="81"/>
      <c r="B23" s="76"/>
      <c r="C23" s="5"/>
      <c r="D23" s="5"/>
      <c r="E23" s="5"/>
      <c r="F23" s="5"/>
      <c r="G23" s="5"/>
      <c r="H23" s="5"/>
      <c r="I23" s="5"/>
      <c r="J23" s="100" t="e">
        <f t="shared" si="0"/>
        <v>#DIV/0!</v>
      </c>
    </row>
    <row r="24" spans="1:10" x14ac:dyDescent="0.35">
      <c r="A24" s="81"/>
      <c r="B24" s="76"/>
      <c r="C24" s="5"/>
      <c r="D24" s="5"/>
      <c r="E24" s="5"/>
      <c r="F24" s="5"/>
      <c r="G24" s="5"/>
      <c r="H24" s="5"/>
      <c r="I24" s="5"/>
      <c r="J24" s="100" t="e">
        <f>AVERAGE(D24:I24)/C24</f>
        <v>#DIV/0!</v>
      </c>
    </row>
    <row r="25" spans="1:10" x14ac:dyDescent="0.35">
      <c r="A25" s="81"/>
      <c r="B25" s="76"/>
      <c r="C25" s="5"/>
      <c r="D25" s="5"/>
      <c r="E25" s="5"/>
      <c r="F25" s="5"/>
      <c r="G25" s="5"/>
      <c r="H25" s="5"/>
      <c r="I25" s="5"/>
      <c r="J25" s="100" t="e">
        <f t="shared" si="0"/>
        <v>#DIV/0!</v>
      </c>
    </row>
    <row r="26" spans="1:10" x14ac:dyDescent="0.35">
      <c r="A26" s="81"/>
      <c r="B26" s="76"/>
      <c r="C26" s="5"/>
      <c r="D26" s="5"/>
      <c r="E26" s="5"/>
      <c r="F26" s="5"/>
      <c r="G26" s="5"/>
      <c r="H26" s="5"/>
      <c r="I26" s="5"/>
      <c r="J26" s="100" t="e">
        <f t="shared" si="0"/>
        <v>#DIV/0!</v>
      </c>
    </row>
    <row r="27" spans="1:10" x14ac:dyDescent="0.35">
      <c r="A27" s="81"/>
      <c r="B27" s="139"/>
      <c r="C27" s="5"/>
      <c r="D27" s="5"/>
      <c r="E27" s="5"/>
      <c r="F27" s="5"/>
      <c r="G27" s="5"/>
      <c r="H27" s="5"/>
      <c r="I27" s="5"/>
      <c r="J27" s="100" t="e">
        <f t="shared" si="0"/>
        <v>#DIV/0!</v>
      </c>
    </row>
    <row r="28" spans="1:10" x14ac:dyDescent="0.35">
      <c r="A28" s="81"/>
      <c r="B28" s="139"/>
      <c r="C28" s="5"/>
      <c r="D28" s="5"/>
      <c r="E28" s="5"/>
      <c r="F28" s="5"/>
      <c r="G28" s="5"/>
      <c r="H28" s="5"/>
      <c r="I28" s="5"/>
      <c r="J28" s="100" t="e">
        <f t="shared" si="0"/>
        <v>#DIV/0!</v>
      </c>
    </row>
    <row r="29" spans="1:10" x14ac:dyDescent="0.35">
      <c r="A29" s="81"/>
      <c r="B29" s="139"/>
      <c r="C29" s="5"/>
      <c r="D29" s="5"/>
      <c r="E29" s="5"/>
      <c r="F29" s="5"/>
      <c r="G29" s="5"/>
      <c r="H29" s="5"/>
      <c r="I29" s="5"/>
      <c r="J29" s="100" t="e">
        <f t="shared" si="0"/>
        <v>#DIV/0!</v>
      </c>
    </row>
    <row r="30" spans="1:10" x14ac:dyDescent="0.35">
      <c r="A30" s="81"/>
      <c r="B30" s="139"/>
      <c r="C30" s="5"/>
      <c r="D30" s="5"/>
      <c r="E30" s="5"/>
      <c r="F30" s="5"/>
      <c r="G30" s="5"/>
      <c r="H30" s="5"/>
      <c r="I30" s="5"/>
      <c r="J30" s="100" t="e">
        <f t="shared" si="0"/>
        <v>#DIV/0!</v>
      </c>
    </row>
    <row r="31" spans="1:10" x14ac:dyDescent="0.35">
      <c r="A31" s="81"/>
      <c r="B31" s="139"/>
      <c r="C31" s="5"/>
      <c r="D31" s="5"/>
      <c r="E31" s="5"/>
      <c r="F31" s="5"/>
      <c r="G31" s="5"/>
      <c r="H31" s="5"/>
      <c r="I31" s="5"/>
      <c r="J31" s="100" t="e">
        <f t="shared" si="0"/>
        <v>#DIV/0!</v>
      </c>
    </row>
    <row r="32" spans="1:10" x14ac:dyDescent="0.35">
      <c r="A32" s="143"/>
      <c r="B32" s="76"/>
      <c r="C32" s="5"/>
      <c r="D32" s="5"/>
      <c r="E32" s="5"/>
      <c r="F32" s="5"/>
      <c r="G32" s="5"/>
      <c r="H32" s="5"/>
      <c r="I32" s="5"/>
      <c r="J32" s="100"/>
    </row>
    <row r="33" spans="1:10" x14ac:dyDescent="0.35">
      <c r="A33" s="81"/>
      <c r="B33" s="76"/>
      <c r="C33" s="5"/>
      <c r="D33" s="5"/>
      <c r="E33" s="5"/>
      <c r="F33" s="5"/>
      <c r="G33" s="5"/>
      <c r="H33" s="5"/>
      <c r="I33" s="5"/>
      <c r="J33" s="100"/>
    </row>
    <row r="34" spans="1:10" x14ac:dyDescent="0.35">
      <c r="A34" s="81"/>
      <c r="B34" s="76"/>
      <c r="C34" s="5"/>
      <c r="D34" s="5"/>
      <c r="E34" s="5"/>
      <c r="F34" s="5"/>
      <c r="G34" s="5"/>
      <c r="H34" s="5"/>
      <c r="I34" s="5"/>
      <c r="J34" s="100"/>
    </row>
    <row r="35" spans="1:10" x14ac:dyDescent="0.35">
      <c r="A35" s="81"/>
      <c r="B35" s="76"/>
      <c r="C35" s="5"/>
      <c r="D35" s="5"/>
      <c r="E35" s="5"/>
      <c r="F35" s="5"/>
      <c r="G35" s="5"/>
      <c r="H35" s="5"/>
      <c r="I35" s="5"/>
      <c r="J35" s="100"/>
    </row>
    <row r="36" spans="1:10" x14ac:dyDescent="0.35">
      <c r="A36" s="49"/>
      <c r="B36" s="5"/>
      <c r="C36" s="5"/>
      <c r="D36" s="5"/>
      <c r="E36" s="5"/>
      <c r="F36" s="5"/>
      <c r="G36" s="5"/>
      <c r="H36" s="5"/>
      <c r="I36" s="5"/>
      <c r="J36" s="100"/>
    </row>
    <row r="37" spans="1:10" x14ac:dyDescent="0.35">
      <c r="A37" s="49"/>
      <c r="B37" s="5"/>
      <c r="C37" s="5"/>
      <c r="D37" s="5"/>
      <c r="E37" s="5"/>
      <c r="F37" s="5"/>
      <c r="G37" s="5"/>
      <c r="H37" s="5"/>
      <c r="I37" s="5"/>
      <c r="J37" s="100"/>
    </row>
    <row r="38" spans="1:10" x14ac:dyDescent="0.35">
      <c r="A38" s="49"/>
      <c r="B38" s="5"/>
      <c r="C38" s="5"/>
      <c r="D38" s="5"/>
      <c r="E38" s="5"/>
      <c r="F38" s="5"/>
      <c r="G38" s="5"/>
      <c r="H38" s="5"/>
      <c r="I38" s="5"/>
      <c r="J38" s="100"/>
    </row>
    <row r="39" spans="1:10" x14ac:dyDescent="0.35">
      <c r="A39" s="49"/>
      <c r="B39" s="5"/>
      <c r="C39" s="5"/>
      <c r="D39" s="5"/>
      <c r="E39" s="5"/>
      <c r="F39" s="5"/>
      <c r="G39" s="5"/>
      <c r="H39" s="5"/>
      <c r="I39" s="5"/>
      <c r="J39" s="100"/>
    </row>
    <row r="40" spans="1:10" x14ac:dyDescent="0.35">
      <c r="A40" s="49"/>
      <c r="B40" s="5"/>
      <c r="C40" s="5"/>
      <c r="D40" s="5"/>
      <c r="E40" s="5"/>
      <c r="F40" s="5"/>
      <c r="G40" s="5"/>
      <c r="H40" s="5"/>
      <c r="I40" s="5"/>
      <c r="J40" s="100"/>
    </row>
    <row r="41" spans="1:10" ht="15" thickBot="1" x14ac:dyDescent="0.4">
      <c r="A41" s="62"/>
      <c r="B41" s="53"/>
      <c r="C41" s="53"/>
      <c r="D41" s="53"/>
      <c r="E41" s="53"/>
      <c r="F41" s="53"/>
      <c r="G41" s="53"/>
      <c r="H41" s="53"/>
      <c r="I41" s="53"/>
      <c r="J41" s="101"/>
    </row>
  </sheetData>
  <mergeCells count="9">
    <mergeCell ref="G1:G2"/>
    <mergeCell ref="H1:H2"/>
    <mergeCell ref="I1:I2"/>
    <mergeCell ref="A1:A2"/>
    <mergeCell ref="B1:B2"/>
    <mergeCell ref="C1:C2"/>
    <mergeCell ref="D1:D2"/>
    <mergeCell ref="E1:E2"/>
    <mergeCell ref="F1:F2"/>
  </mergeCells>
  <pageMargins left="0.7" right="0.7" top="0.75" bottom="0.75" header="0.3" footer="0.3"/>
  <pageSetup paperSize="9"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E8B395-2269-4938-88C2-810505479E46}">
  <dimension ref="A1:J42"/>
  <sheetViews>
    <sheetView zoomScale="85" zoomScaleNormal="85" workbookViewId="0">
      <selection activeCell="H40" sqref="H40"/>
    </sheetView>
  </sheetViews>
  <sheetFormatPr defaultRowHeight="14.5" x14ac:dyDescent="0.35"/>
  <cols>
    <col min="1" max="1" width="35.453125" customWidth="1"/>
    <col min="2" max="2" width="19.453125" customWidth="1"/>
    <col min="3" max="3" width="18.54296875" customWidth="1"/>
    <col min="4" max="4" width="13.81640625" customWidth="1"/>
    <col min="5" max="5" width="13.54296875" customWidth="1"/>
    <col min="6" max="6" width="13.6328125" customWidth="1"/>
    <col min="7" max="7" width="12.54296875" customWidth="1"/>
    <col min="8" max="9" width="12.1796875" customWidth="1"/>
    <col min="10" max="10" width="10.6328125" customWidth="1"/>
  </cols>
  <sheetData>
    <row r="1" spans="1:10" ht="14.5" customHeight="1" x14ac:dyDescent="0.35">
      <c r="A1" s="186" t="s">
        <v>202</v>
      </c>
      <c r="B1" s="207" t="s">
        <v>224</v>
      </c>
      <c r="C1" s="207" t="s">
        <v>203</v>
      </c>
      <c r="D1" s="188" t="s">
        <v>127</v>
      </c>
      <c r="E1" s="188" t="s">
        <v>126</v>
      </c>
      <c r="F1" s="188" t="s">
        <v>125</v>
      </c>
      <c r="G1" s="190" t="s">
        <v>124</v>
      </c>
      <c r="H1" s="188" t="s">
        <v>123</v>
      </c>
      <c r="I1" s="188" t="s">
        <v>223</v>
      </c>
      <c r="J1" s="39" t="s">
        <v>129</v>
      </c>
    </row>
    <row r="2" spans="1:10" ht="15" thickBot="1" x14ac:dyDescent="0.4">
      <c r="A2" s="210"/>
      <c r="B2" s="208"/>
      <c r="C2" s="208"/>
      <c r="D2" s="209"/>
      <c r="E2" s="209"/>
      <c r="F2" s="209"/>
      <c r="G2" s="211"/>
      <c r="H2" s="209"/>
      <c r="I2" s="209"/>
      <c r="J2" s="98" t="s">
        <v>179</v>
      </c>
    </row>
    <row r="3" spans="1:10" x14ac:dyDescent="0.35">
      <c r="A3" s="140" t="s">
        <v>225</v>
      </c>
      <c r="B3" s="141">
        <v>0.78</v>
      </c>
      <c r="C3" s="28">
        <v>6</v>
      </c>
      <c r="D3" s="28">
        <v>695</v>
      </c>
      <c r="E3" s="28"/>
      <c r="F3" s="28"/>
      <c r="G3" s="28"/>
      <c r="H3" s="28"/>
      <c r="I3" s="28"/>
      <c r="J3" s="99">
        <f>AVERAGE(D3:I3)/C3</f>
        <v>115.83333333333333</v>
      </c>
    </row>
    <row r="4" spans="1:10" x14ac:dyDescent="0.35">
      <c r="A4" s="142" t="s">
        <v>226</v>
      </c>
      <c r="B4" s="76">
        <v>0.78</v>
      </c>
      <c r="C4" s="5">
        <v>8</v>
      </c>
      <c r="D4" s="5">
        <v>795</v>
      </c>
      <c r="E4" s="5"/>
      <c r="F4" s="5"/>
      <c r="G4" s="5"/>
      <c r="H4" s="5"/>
      <c r="I4" s="5"/>
      <c r="J4" s="100">
        <f t="shared" ref="J4:J42" si="0">AVERAGE(D4:I4)/C4</f>
        <v>99.375</v>
      </c>
    </row>
    <row r="5" spans="1:10" x14ac:dyDescent="0.35">
      <c r="A5" s="142" t="s">
        <v>227</v>
      </c>
      <c r="B5" s="76">
        <v>0.82</v>
      </c>
      <c r="C5" s="5">
        <v>10</v>
      </c>
      <c r="D5" s="5">
        <v>845</v>
      </c>
      <c r="E5" s="5"/>
      <c r="F5" s="5"/>
      <c r="G5" s="5"/>
      <c r="H5" s="5"/>
      <c r="I5" s="5"/>
      <c r="J5" s="100">
        <f t="shared" si="0"/>
        <v>84.5</v>
      </c>
    </row>
    <row r="6" spans="1:10" x14ac:dyDescent="0.35">
      <c r="A6" s="142" t="s">
        <v>228</v>
      </c>
      <c r="B6" s="76">
        <v>0.8</v>
      </c>
      <c r="C6" s="5">
        <v>6</v>
      </c>
      <c r="D6" s="5">
        <v>845</v>
      </c>
      <c r="E6" s="5"/>
      <c r="F6" s="5"/>
      <c r="G6" s="5"/>
      <c r="H6" s="5"/>
      <c r="I6" s="5"/>
      <c r="J6" s="100">
        <f t="shared" si="0"/>
        <v>140.83333333333334</v>
      </c>
    </row>
    <row r="7" spans="1:10" x14ac:dyDescent="0.35">
      <c r="A7" s="142" t="s">
        <v>228</v>
      </c>
      <c r="B7" s="76">
        <v>0.8</v>
      </c>
      <c r="C7" s="5">
        <v>8</v>
      </c>
      <c r="D7" s="5">
        <v>895</v>
      </c>
      <c r="E7" s="5"/>
      <c r="F7" s="5"/>
      <c r="G7" s="5"/>
      <c r="H7" s="5"/>
      <c r="I7" s="5"/>
      <c r="J7" s="100">
        <f t="shared" si="0"/>
        <v>111.875</v>
      </c>
    </row>
    <row r="8" spans="1:10" x14ac:dyDescent="0.35">
      <c r="A8" s="142" t="s">
        <v>229</v>
      </c>
      <c r="B8" s="76">
        <v>0.85</v>
      </c>
      <c r="C8" s="5">
        <v>12</v>
      </c>
      <c r="D8" s="5">
        <v>895</v>
      </c>
      <c r="E8" s="5"/>
      <c r="F8" s="5"/>
      <c r="G8" s="5"/>
      <c r="H8" s="5"/>
      <c r="I8" s="5"/>
      <c r="J8" s="100">
        <f t="shared" si="0"/>
        <v>74.583333333333329</v>
      </c>
    </row>
    <row r="9" spans="1:10" x14ac:dyDescent="0.35">
      <c r="A9" s="142" t="s">
        <v>230</v>
      </c>
      <c r="B9" s="76">
        <v>0.82</v>
      </c>
      <c r="C9" s="5">
        <v>8</v>
      </c>
      <c r="D9" s="5">
        <v>895</v>
      </c>
      <c r="E9" s="5"/>
      <c r="F9" s="5"/>
      <c r="G9" s="5"/>
      <c r="H9" s="5"/>
      <c r="I9" s="5"/>
      <c r="J9" s="100">
        <f t="shared" si="0"/>
        <v>111.875</v>
      </c>
    </row>
    <row r="10" spans="1:10" x14ac:dyDescent="0.35">
      <c r="A10" s="142" t="s">
        <v>231</v>
      </c>
      <c r="B10" s="76">
        <v>0.82</v>
      </c>
      <c r="C10" s="5">
        <v>12</v>
      </c>
      <c r="D10" s="5">
        <v>985</v>
      </c>
      <c r="E10" s="5"/>
      <c r="F10" s="5"/>
      <c r="G10" s="5"/>
      <c r="H10" s="5"/>
      <c r="I10" s="5"/>
      <c r="J10" s="100">
        <f t="shared" si="0"/>
        <v>82.083333333333329</v>
      </c>
    </row>
    <row r="11" spans="1:10" x14ac:dyDescent="0.35">
      <c r="A11" s="49" t="s">
        <v>232</v>
      </c>
      <c r="B11" s="76">
        <v>0.85</v>
      </c>
      <c r="C11" s="5">
        <v>15</v>
      </c>
      <c r="D11" s="5">
        <v>995</v>
      </c>
      <c r="E11" s="5"/>
      <c r="F11" s="5"/>
      <c r="G11" s="5"/>
      <c r="H11" s="5"/>
      <c r="I11" s="5"/>
      <c r="J11" s="100">
        <f t="shared" si="0"/>
        <v>66.333333333333329</v>
      </c>
    </row>
    <row r="12" spans="1:10" x14ac:dyDescent="0.35">
      <c r="A12" s="142" t="s">
        <v>233</v>
      </c>
      <c r="B12" s="76">
        <v>0.82</v>
      </c>
      <c r="C12" s="5">
        <v>16</v>
      </c>
      <c r="D12" s="5">
        <v>1095</v>
      </c>
      <c r="E12" s="5"/>
      <c r="F12" s="5"/>
      <c r="G12" s="5"/>
      <c r="H12" s="5"/>
      <c r="I12" s="5"/>
      <c r="J12" s="100">
        <f t="shared" si="0"/>
        <v>68.4375</v>
      </c>
    </row>
    <row r="13" spans="1:10" x14ac:dyDescent="0.35">
      <c r="A13" s="142" t="s">
        <v>234</v>
      </c>
      <c r="B13" s="76">
        <v>0.8</v>
      </c>
      <c r="C13" s="5">
        <v>12</v>
      </c>
      <c r="D13" s="5">
        <v>1095</v>
      </c>
      <c r="E13" s="5"/>
      <c r="F13" s="5"/>
      <c r="G13" s="5"/>
      <c r="H13" s="5"/>
      <c r="I13" s="5"/>
      <c r="J13" s="100">
        <f t="shared" si="0"/>
        <v>91.25</v>
      </c>
    </row>
    <row r="14" spans="1:10" x14ac:dyDescent="0.35">
      <c r="A14" s="49" t="s">
        <v>235</v>
      </c>
      <c r="B14" s="76">
        <v>0.85</v>
      </c>
      <c r="C14" s="5">
        <v>20</v>
      </c>
      <c r="D14" s="5">
        <v>1165</v>
      </c>
      <c r="E14" s="5"/>
      <c r="F14" s="5"/>
      <c r="G14" s="5"/>
      <c r="H14" s="5"/>
      <c r="I14" s="5"/>
      <c r="J14" s="100">
        <f t="shared" si="0"/>
        <v>58.25</v>
      </c>
    </row>
    <row r="15" spans="1:10" x14ac:dyDescent="0.35">
      <c r="A15" s="142" t="s">
        <v>236</v>
      </c>
      <c r="B15" s="76">
        <v>0.8</v>
      </c>
      <c r="C15" s="5">
        <v>15</v>
      </c>
      <c r="D15" s="5">
        <v>1195</v>
      </c>
      <c r="E15" s="5"/>
      <c r="F15" s="5"/>
      <c r="G15" s="5"/>
      <c r="H15" s="5"/>
      <c r="I15" s="5"/>
      <c r="J15" s="100">
        <f t="shared" si="0"/>
        <v>79.666666666666671</v>
      </c>
    </row>
    <row r="16" spans="1:10" x14ac:dyDescent="0.35">
      <c r="A16" s="49" t="s">
        <v>237</v>
      </c>
      <c r="B16" s="76">
        <v>0.85</v>
      </c>
      <c r="C16" s="5">
        <v>25</v>
      </c>
      <c r="D16" s="5">
        <v>1265</v>
      </c>
      <c r="E16" s="5"/>
      <c r="F16" s="5"/>
      <c r="G16" s="5"/>
      <c r="H16" s="5"/>
      <c r="I16" s="5"/>
      <c r="J16" s="100">
        <f t="shared" si="0"/>
        <v>50.6</v>
      </c>
    </row>
    <row r="17" spans="1:10" x14ac:dyDescent="0.35">
      <c r="A17" s="142" t="s">
        <v>238</v>
      </c>
      <c r="B17" s="76">
        <v>0.8</v>
      </c>
      <c r="C17" s="5">
        <v>20</v>
      </c>
      <c r="D17" s="5">
        <v>1295</v>
      </c>
      <c r="E17" s="5"/>
      <c r="F17" s="5"/>
      <c r="G17" s="5"/>
      <c r="H17" s="5"/>
      <c r="I17" s="5"/>
      <c r="J17" s="100">
        <f t="shared" si="0"/>
        <v>64.75</v>
      </c>
    </row>
    <row r="18" spans="1:10" x14ac:dyDescent="0.35">
      <c r="A18" s="142" t="s">
        <v>239</v>
      </c>
      <c r="B18" s="76">
        <v>0.8</v>
      </c>
      <c r="C18" s="5">
        <v>25</v>
      </c>
      <c r="D18" s="5">
        <v>1395</v>
      </c>
      <c r="E18" s="5"/>
      <c r="F18" s="5"/>
      <c r="G18" s="5"/>
      <c r="H18" s="5"/>
      <c r="I18" s="5"/>
      <c r="J18" s="100">
        <f t="shared" si="0"/>
        <v>55.8</v>
      </c>
    </row>
    <row r="19" spans="1:10" x14ac:dyDescent="0.35">
      <c r="A19" s="142" t="s">
        <v>241</v>
      </c>
      <c r="B19" s="76">
        <v>0.82</v>
      </c>
      <c r="C19" s="5">
        <v>20</v>
      </c>
      <c r="D19" s="5">
        <v>1495</v>
      </c>
      <c r="E19" s="5"/>
      <c r="F19" s="5"/>
      <c r="G19" s="5"/>
      <c r="H19" s="5"/>
      <c r="I19" s="5"/>
      <c r="J19" s="100">
        <f t="shared" si="0"/>
        <v>74.75</v>
      </c>
    </row>
    <row r="20" spans="1:10" x14ac:dyDescent="0.35">
      <c r="A20" s="142" t="s">
        <v>240</v>
      </c>
      <c r="B20" s="76">
        <v>0.8</v>
      </c>
      <c r="C20" s="5">
        <v>30</v>
      </c>
      <c r="D20" s="5">
        <v>1495</v>
      </c>
      <c r="E20" s="5"/>
      <c r="F20" s="5"/>
      <c r="G20" s="5"/>
      <c r="H20" s="5"/>
      <c r="I20" s="5"/>
      <c r="J20" s="100">
        <f t="shared" si="0"/>
        <v>49.833333333333336</v>
      </c>
    </row>
    <row r="21" spans="1:10" x14ac:dyDescent="0.35">
      <c r="A21" s="142" t="s">
        <v>242</v>
      </c>
      <c r="B21" s="76">
        <v>0.82</v>
      </c>
      <c r="C21" s="5">
        <v>30</v>
      </c>
      <c r="D21" s="5">
        <v>1650</v>
      </c>
      <c r="E21" s="5"/>
      <c r="F21" s="5"/>
      <c r="G21" s="5"/>
      <c r="H21" s="5"/>
      <c r="I21" s="5"/>
      <c r="J21" s="100">
        <f t="shared" si="0"/>
        <v>55</v>
      </c>
    </row>
    <row r="22" spans="1:10" x14ac:dyDescent="0.35">
      <c r="A22" s="81" t="s">
        <v>243</v>
      </c>
      <c r="B22" s="76">
        <v>0.8</v>
      </c>
      <c r="C22" s="5">
        <v>40</v>
      </c>
      <c r="D22" s="5">
        <v>1795</v>
      </c>
      <c r="E22" s="5"/>
      <c r="F22" s="5"/>
      <c r="G22" s="5"/>
      <c r="H22" s="5"/>
      <c r="I22" s="5"/>
      <c r="J22" s="100">
        <f t="shared" si="0"/>
        <v>44.875</v>
      </c>
    </row>
    <row r="23" spans="1:10" x14ac:dyDescent="0.35">
      <c r="A23" s="81" t="s">
        <v>244</v>
      </c>
      <c r="B23" s="76">
        <v>0.85</v>
      </c>
      <c r="C23" s="5">
        <v>25</v>
      </c>
      <c r="D23" s="5">
        <v>1850</v>
      </c>
      <c r="E23" s="5"/>
      <c r="F23" s="5"/>
      <c r="G23" s="5"/>
      <c r="H23" s="5"/>
      <c r="I23" s="5"/>
      <c r="J23" s="100">
        <f t="shared" si="0"/>
        <v>74</v>
      </c>
    </row>
    <row r="24" spans="1:10" x14ac:dyDescent="0.35">
      <c r="A24" s="81" t="s">
        <v>270</v>
      </c>
      <c r="B24" s="76">
        <v>0.88700000000000001</v>
      </c>
      <c r="C24" s="5">
        <v>30</v>
      </c>
      <c r="D24" s="5"/>
      <c r="E24" s="5">
        <v>1770</v>
      </c>
      <c r="F24" s="5"/>
      <c r="G24" s="5"/>
      <c r="H24" s="5"/>
      <c r="I24" s="5"/>
      <c r="J24" s="100">
        <f>AVERAGE(D24:I24)/C24</f>
        <v>59</v>
      </c>
    </row>
    <row r="25" spans="1:10" x14ac:dyDescent="0.35">
      <c r="A25" s="81" t="s">
        <v>271</v>
      </c>
      <c r="B25" s="76">
        <v>0.88700000000000001</v>
      </c>
      <c r="C25" s="5">
        <v>40</v>
      </c>
      <c r="D25" s="5"/>
      <c r="E25" s="5">
        <v>2110</v>
      </c>
      <c r="F25" s="5"/>
      <c r="G25" s="5"/>
      <c r="H25" s="5"/>
      <c r="I25" s="5"/>
      <c r="J25" s="100">
        <f t="shared" si="0"/>
        <v>52.75</v>
      </c>
    </row>
    <row r="26" spans="1:10" x14ac:dyDescent="0.35">
      <c r="A26" s="81" t="s">
        <v>272</v>
      </c>
      <c r="B26" s="76">
        <v>0.88700000000000001</v>
      </c>
      <c r="C26" s="5">
        <v>50</v>
      </c>
      <c r="D26" s="5"/>
      <c r="E26" s="5">
        <v>2330</v>
      </c>
      <c r="F26" s="5"/>
      <c r="G26" s="5"/>
      <c r="H26" s="5"/>
      <c r="I26" s="5"/>
      <c r="J26" s="100">
        <f t="shared" si="0"/>
        <v>46.6</v>
      </c>
    </row>
    <row r="27" spans="1:10" x14ac:dyDescent="0.35">
      <c r="A27" s="81" t="s">
        <v>274</v>
      </c>
      <c r="B27" s="139" t="s">
        <v>273</v>
      </c>
      <c r="C27" s="5">
        <v>20</v>
      </c>
      <c r="D27" s="5"/>
      <c r="E27" s="5">
        <v>1633</v>
      </c>
      <c r="F27" s="5"/>
      <c r="G27" s="5"/>
      <c r="H27" s="5"/>
      <c r="I27" s="5"/>
      <c r="J27" s="100">
        <f t="shared" si="0"/>
        <v>81.650000000000006</v>
      </c>
    </row>
    <row r="28" spans="1:10" x14ac:dyDescent="0.35">
      <c r="A28" s="81" t="s">
        <v>275</v>
      </c>
      <c r="B28" s="139" t="s">
        <v>273</v>
      </c>
      <c r="C28" s="5">
        <v>25</v>
      </c>
      <c r="D28" s="5"/>
      <c r="E28" s="5">
        <v>1780</v>
      </c>
      <c r="F28" s="5"/>
      <c r="G28" s="5"/>
      <c r="H28" s="5"/>
      <c r="I28" s="5"/>
      <c r="J28" s="100">
        <f t="shared" si="0"/>
        <v>71.2</v>
      </c>
    </row>
    <row r="29" spans="1:10" x14ac:dyDescent="0.35">
      <c r="A29" s="81" t="s">
        <v>276</v>
      </c>
      <c r="B29" s="139" t="s">
        <v>273</v>
      </c>
      <c r="C29" s="5">
        <v>30</v>
      </c>
      <c r="D29" s="5"/>
      <c r="E29" s="5">
        <v>1868</v>
      </c>
      <c r="F29" s="5"/>
      <c r="G29" s="5"/>
      <c r="H29" s="5"/>
      <c r="I29" s="5"/>
      <c r="J29" s="100">
        <f t="shared" si="0"/>
        <v>62.266666666666666</v>
      </c>
    </row>
    <row r="30" spans="1:10" x14ac:dyDescent="0.35">
      <c r="A30" s="81" t="s">
        <v>277</v>
      </c>
      <c r="B30" s="139" t="s">
        <v>273</v>
      </c>
      <c r="C30" s="5">
        <v>40</v>
      </c>
      <c r="D30" s="5"/>
      <c r="E30" s="5">
        <v>2558</v>
      </c>
      <c r="F30" s="5"/>
      <c r="G30" s="5"/>
      <c r="H30" s="5"/>
      <c r="I30" s="5"/>
      <c r="J30" s="100">
        <f t="shared" si="0"/>
        <v>63.95</v>
      </c>
    </row>
    <row r="31" spans="1:10" x14ac:dyDescent="0.35">
      <c r="A31" s="81" t="s">
        <v>278</v>
      </c>
      <c r="B31" s="139" t="s">
        <v>273</v>
      </c>
      <c r="C31" s="5">
        <v>49</v>
      </c>
      <c r="D31" s="5"/>
      <c r="E31" s="5">
        <v>2740</v>
      </c>
      <c r="F31" s="5"/>
      <c r="G31" s="5"/>
      <c r="H31" s="5"/>
      <c r="I31" s="5"/>
      <c r="J31" s="100">
        <f t="shared" si="0"/>
        <v>55.918367346938773</v>
      </c>
    </row>
    <row r="32" spans="1:10" x14ac:dyDescent="0.35">
      <c r="A32" s="81" t="s">
        <v>279</v>
      </c>
      <c r="B32" s="76"/>
      <c r="C32" s="5">
        <v>20</v>
      </c>
      <c r="D32" s="5"/>
      <c r="E32" s="5">
        <v>1355.2</v>
      </c>
      <c r="F32" s="5"/>
      <c r="G32" s="5"/>
      <c r="H32" s="5"/>
      <c r="I32" s="5"/>
      <c r="J32" s="100">
        <f t="shared" si="0"/>
        <v>67.760000000000005</v>
      </c>
    </row>
    <row r="33" spans="1:10" x14ac:dyDescent="0.35">
      <c r="A33" s="81" t="s">
        <v>280</v>
      </c>
      <c r="B33" s="76"/>
      <c r="C33" s="5">
        <v>25</v>
      </c>
      <c r="D33" s="5"/>
      <c r="E33" s="5">
        <v>1448</v>
      </c>
      <c r="F33" s="5"/>
      <c r="G33" s="5"/>
      <c r="H33" s="5"/>
      <c r="I33" s="5"/>
      <c r="J33" s="100">
        <f t="shared" si="0"/>
        <v>57.92</v>
      </c>
    </row>
    <row r="34" spans="1:10" x14ac:dyDescent="0.35">
      <c r="A34" s="81" t="s">
        <v>281</v>
      </c>
      <c r="B34" s="76"/>
      <c r="C34" s="5">
        <v>30</v>
      </c>
      <c r="D34" s="5"/>
      <c r="E34" s="5">
        <v>1512</v>
      </c>
      <c r="F34" s="5"/>
      <c r="G34" s="5"/>
      <c r="H34" s="5"/>
      <c r="I34" s="5"/>
      <c r="J34" s="100">
        <f t="shared" si="0"/>
        <v>50.4</v>
      </c>
    </row>
    <row r="35" spans="1:10" x14ac:dyDescent="0.35">
      <c r="A35" s="81" t="s">
        <v>282</v>
      </c>
      <c r="B35" s="5"/>
      <c r="C35" s="5">
        <v>35</v>
      </c>
      <c r="D35" s="5"/>
      <c r="E35" s="5">
        <v>1661.6</v>
      </c>
      <c r="F35" s="5"/>
      <c r="G35" s="5"/>
      <c r="H35" s="5"/>
      <c r="I35" s="5"/>
      <c r="J35" s="100">
        <f t="shared" si="0"/>
        <v>47.474285714285713</v>
      </c>
    </row>
    <row r="36" spans="1:10" x14ac:dyDescent="0.35">
      <c r="A36" s="81" t="s">
        <v>283</v>
      </c>
      <c r="B36" s="5"/>
      <c r="C36" s="5">
        <v>40</v>
      </c>
      <c r="D36" s="5"/>
      <c r="E36" s="5">
        <v>1784.8</v>
      </c>
      <c r="F36" s="5"/>
      <c r="G36" s="5"/>
      <c r="H36" s="5"/>
      <c r="I36" s="5"/>
      <c r="J36" s="100">
        <f t="shared" si="0"/>
        <v>44.62</v>
      </c>
    </row>
    <row r="37" spans="1:10" x14ac:dyDescent="0.35">
      <c r="A37" s="5" t="s">
        <v>285</v>
      </c>
      <c r="B37" s="76">
        <v>0.8</v>
      </c>
      <c r="C37" s="5">
        <v>24</v>
      </c>
      <c r="D37" s="5"/>
      <c r="E37" s="5"/>
      <c r="F37" s="5">
        <v>1100</v>
      </c>
      <c r="G37" s="5"/>
      <c r="H37" s="5"/>
      <c r="I37" s="5"/>
      <c r="J37" s="100">
        <f t="shared" si="0"/>
        <v>45.833333333333336</v>
      </c>
    </row>
    <row r="38" spans="1:10" x14ac:dyDescent="0.35">
      <c r="A38" s="5" t="s">
        <v>284</v>
      </c>
      <c r="B38" s="76">
        <v>0.8</v>
      </c>
      <c r="C38" s="5">
        <v>16</v>
      </c>
      <c r="D38" s="5"/>
      <c r="E38" s="5"/>
      <c r="F38" s="5">
        <v>969</v>
      </c>
      <c r="G38" s="5"/>
      <c r="H38" s="5"/>
      <c r="I38" s="5"/>
      <c r="J38" s="100">
        <f t="shared" si="0"/>
        <v>60.5625</v>
      </c>
    </row>
    <row r="39" spans="1:10" x14ac:dyDescent="0.35">
      <c r="A39" s="5" t="s">
        <v>286</v>
      </c>
      <c r="B39" s="76">
        <v>0.85</v>
      </c>
      <c r="C39" s="5">
        <v>34</v>
      </c>
      <c r="D39" s="5"/>
      <c r="E39" s="5"/>
      <c r="F39" s="5">
        <v>1299</v>
      </c>
      <c r="G39" s="5"/>
      <c r="H39" s="5"/>
      <c r="I39" s="5"/>
      <c r="J39" s="100">
        <f t="shared" si="0"/>
        <v>38.205882352941174</v>
      </c>
    </row>
    <row r="40" spans="1:10" x14ac:dyDescent="0.35">
      <c r="A40" s="5" t="s">
        <v>287</v>
      </c>
      <c r="B40" s="76">
        <v>0.9</v>
      </c>
      <c r="C40" s="5">
        <v>60</v>
      </c>
      <c r="D40" s="5"/>
      <c r="E40" s="5"/>
      <c r="F40" s="5"/>
      <c r="G40" s="5">
        <v>3041.1</v>
      </c>
      <c r="H40" s="5"/>
      <c r="I40" s="5"/>
      <c r="J40" s="60">
        <f t="shared" si="0"/>
        <v>50.684999999999995</v>
      </c>
    </row>
    <row r="41" spans="1:10" x14ac:dyDescent="0.35">
      <c r="A41" s="5" t="s">
        <v>288</v>
      </c>
      <c r="B41" s="76">
        <v>0.9</v>
      </c>
      <c r="C41" s="5">
        <v>100</v>
      </c>
      <c r="D41" s="5"/>
      <c r="E41" s="5"/>
      <c r="F41" s="5"/>
      <c r="G41" s="5">
        <v>4905</v>
      </c>
      <c r="H41" s="5"/>
      <c r="I41" s="5"/>
      <c r="J41" s="60">
        <f t="shared" si="0"/>
        <v>49.05</v>
      </c>
    </row>
    <row r="42" spans="1:10" x14ac:dyDescent="0.35">
      <c r="A42" s="5" t="s">
        <v>289</v>
      </c>
      <c r="B42" s="76">
        <v>0.9</v>
      </c>
      <c r="C42" s="5">
        <v>70</v>
      </c>
      <c r="D42" s="5"/>
      <c r="E42" s="5"/>
      <c r="F42" s="5"/>
      <c r="G42" s="5">
        <v>3237.3</v>
      </c>
      <c r="H42" s="5"/>
      <c r="I42" s="5"/>
      <c r="J42" s="60">
        <f t="shared" si="0"/>
        <v>46.247142857142862</v>
      </c>
    </row>
  </sheetData>
  <mergeCells count="9">
    <mergeCell ref="H1:H2"/>
    <mergeCell ref="I1:I2"/>
    <mergeCell ref="A1:A2"/>
    <mergeCell ref="C1:C2"/>
    <mergeCell ref="D1:D2"/>
    <mergeCell ref="E1:E2"/>
    <mergeCell ref="F1:F2"/>
    <mergeCell ref="G1:G2"/>
    <mergeCell ref="B1:B2"/>
  </mergeCells>
  <phoneticPr fontId="17" type="noConversion"/>
  <hyperlinks>
    <hyperlink ref="A32" r:id="rId1" display="https://www.sbsiltumtehnika.lv/lv/product/centrometal-eko-ck-p-20-malkas-apkures-katls/pop" xr:uid="{4602A740-39E6-4B18-80EB-268584F357E5}"/>
    <hyperlink ref="A33" r:id="rId2" display="https://www.sbsiltumtehnika.lv/lv/product/centrometal-eko-ck-p-25-malkas-apkures-katls/pop" xr:uid="{06E533F6-DF82-4FDC-8F5A-025A17EBE0F1}"/>
    <hyperlink ref="A34" r:id="rId3" display="https://www.sbsiltumtehnika.lv/lv/product/centrometal-eko-ck-p-30-malkas-apkures-katls/pop" xr:uid="{35563596-1CF6-45D8-A29A-CBA14A752CEB}"/>
    <hyperlink ref="A35" r:id="rId4" display="https://www.sbsiltumtehnika.lv/lv/product/centrometal-eko-ck-p-35-malkas-apkures-katls/pop" xr:uid="{965EA45E-DFFE-4BA2-975E-2177C3614C84}"/>
    <hyperlink ref="A36" r:id="rId5" display="https://www.sbsiltumtehnika.lv/lv/product/centrometal-eko-ck-p-40-malkas-apkures-katls/pop" xr:uid="{B696B1D8-5AFB-4C31-A4D1-B40D9EE384F6}"/>
  </hyperlinks>
  <pageMargins left="0.7" right="0.7" top="0.75" bottom="0.75" header="0.3" footer="0.3"/>
  <pageSetup paperSize="9" orientation="portrait" verticalDpi="0" r:id="rId6"/>
  <drawing r:id="rId7"/>
  <legacy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10</vt:i4>
      </vt:variant>
    </vt:vector>
  </HeadingPairs>
  <TitlesOfParts>
    <vt:vector size="10" baseType="lpstr">
      <vt:lpstr>Pamatdati</vt:lpstr>
      <vt:lpstr>Ekon.apr.dati</vt:lpstr>
      <vt:lpstr>rezultāts</vt:lpstr>
      <vt:lpstr>Kurināmā_cenas</vt:lpstr>
      <vt:lpstr>Gaiss-ūdens</vt:lpstr>
      <vt:lpstr>Granulas</vt:lpstr>
      <vt:lpstr>dabasgāze</vt:lpstr>
      <vt:lpstr>Zeme-ūdens</vt:lpstr>
      <vt:lpstr>Malkas_katli</vt:lpstr>
      <vt:lpstr>Izejas datu lapa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Ļubova Paršikova</dc:creator>
  <cp:lastModifiedBy>Dace Ziediņa</cp:lastModifiedBy>
  <cp:lastPrinted>2023-04-03T08:15:55Z</cp:lastPrinted>
  <dcterms:created xsi:type="dcterms:W3CDTF">2023-04-03T07:19:30Z</dcterms:created>
  <dcterms:modified xsi:type="dcterms:W3CDTF">2024-05-14T11:12:03Z</dcterms:modified>
</cp:coreProperties>
</file>